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985" yWindow="-15" windowWidth="12030" windowHeight="10155" tabRatio="764"/>
  </bookViews>
  <sheets>
    <sheet name="ShellCalc© Program" sheetId="4" r:id="rId1"/>
    <sheet name="Scaled Plot" sheetId="19" r:id="rId2"/>
    <sheet name="Trajectory Graph" sheetId="16" r:id="rId3"/>
    <sheet name="Ground Plot" sheetId="17" r:id="rId4"/>
    <sheet name="Windspeeds" sheetId="10" r:id="rId5"/>
    <sheet name="Help" sheetId="13" r:id="rId6"/>
    <sheet name="Screenshots" sheetId="14" r:id="rId7"/>
    <sheet name="About" sheetId="5" r:id="rId8"/>
    <sheet name="Changelog" sheetId="6" r:id="rId9"/>
    <sheet name="Input data" sheetId="15" state="hidden" r:id="rId10"/>
    <sheet name="Calculations" sheetId="1" state="hidden" r:id="rId11"/>
    <sheet name="Fallout" sheetId="7" state="hidden" r:id="rId12"/>
    <sheet name="Parameters" sheetId="8" state="hidden" r:id="rId13"/>
    <sheet name="DropdownsHelp" sheetId="9" state="hidden" r:id="rId14"/>
    <sheet name="Shelldata" sheetId="11" state="hidden" r:id="rId15"/>
    <sheet name="Burst Calculations" sheetId="12" state="hidden" r:id="rId16"/>
    <sheet name="Shell BH Calcs" sheetId="18" state="hidden" r:id="rId17"/>
  </sheets>
  <definedNames>
    <definedName name="drift">DropdownsHelp!$B$29:$B$33</definedName>
    <definedName name="Fuse_Delay">'ShellCalc© Program'!$C$13</definedName>
    <definedName name="helptext">DropdownsHelp!$H$5:$I$29</definedName>
    <definedName name="is_comet">'Input data'!$G$26</definedName>
    <definedName name="is_imp">'Input data'!$G$27</definedName>
    <definedName name="is_metric">'Input data'!$H$27</definedName>
    <definedName name="is_shell">'Input data'!$H$26</definedName>
    <definedName name="muzzle_velocity">'ShellCalc© Program'!$C$12</definedName>
    <definedName name="Param_1">'Input data'!$N$26</definedName>
    <definedName name="_xlnm.Print_Area" localSheetId="0">'ShellCalc© Program'!$A$1:$I$57</definedName>
    <definedName name="Print_area1">'ShellCalc© Program'!$A$1:$I$57</definedName>
    <definedName name="print_area2">#REF!</definedName>
    <definedName name="Scale">'Scaled Plot'!$Q$7</definedName>
    <definedName name="Shell_Burst_Diameter">'ShellCalc© Program'!$C$16</definedName>
    <definedName name="Shell_Burst_Height">'ShellCalc© Program'!$C$15</definedName>
    <definedName name="shell_data">Shelldata!$A$5:$G$20</definedName>
    <definedName name="shell_data1">Shelldata!$A$6:$H$20</definedName>
    <definedName name="shell_size">Shelldata!$A$6:$A$20</definedName>
    <definedName name="showfallout">DropdownsHelp!$B$6:$B$7</definedName>
    <definedName name="types">DropdownsHelp!$B$41:$B$42</definedName>
    <definedName name="Units">DropdownsHelp!$B$36:$B$37</definedName>
    <definedName name="version">'ShellCalc© Program'!$B$1</definedName>
  </definedNames>
  <calcPr calcId="145621"/>
</workbook>
</file>

<file path=xl/calcChain.xml><?xml version="1.0" encoding="utf-8"?>
<calcChain xmlns="http://schemas.openxmlformats.org/spreadsheetml/2006/main">
  <c r="B38" i="15" l="1"/>
  <c r="F38" i="15" s="1"/>
  <c r="B17" i="15"/>
  <c r="B18" i="15"/>
  <c r="K7" i="16" l="1"/>
  <c r="L6" i="16"/>
  <c r="K6" i="16"/>
  <c r="K5" i="16"/>
  <c r="K4" i="16"/>
  <c r="K3" i="16"/>
  <c r="K2" i="16"/>
  <c r="K7" i="17"/>
  <c r="L6" i="17"/>
  <c r="K6" i="17"/>
  <c r="K5" i="17"/>
  <c r="K4" i="17"/>
  <c r="K2" i="17"/>
  <c r="K3" i="17"/>
  <c r="Q24" i="7"/>
  <c r="R37" i="7"/>
  <c r="S37" i="7"/>
  <c r="B6" i="15"/>
  <c r="B10" i="15"/>
  <c r="Q35" i="7" s="1"/>
  <c r="D11" i="15"/>
  <c r="B13" i="15"/>
  <c r="B15" i="15"/>
  <c r="D15" i="15" s="1"/>
  <c r="B16" i="15"/>
  <c r="N22" i="15"/>
  <c r="D26" i="15"/>
  <c r="B26" i="15" s="1"/>
  <c r="D27" i="15"/>
  <c r="B27" i="15" s="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C37" i="7"/>
  <c r="C19" i="7"/>
  <c r="D19" i="7" s="1"/>
  <c r="C18" i="7"/>
  <c r="D18" i="7" s="1"/>
  <c r="F20" i="11"/>
  <c r="E20" i="11"/>
  <c r="C20" i="11"/>
  <c r="F19" i="11"/>
  <c r="E19" i="11"/>
  <c r="C19" i="11"/>
  <c r="F18" i="11"/>
  <c r="E18" i="11"/>
  <c r="C18" i="11"/>
  <c r="F17" i="11"/>
  <c r="E17" i="11"/>
  <c r="C17" i="11"/>
  <c r="F16" i="11"/>
  <c r="E16" i="11"/>
  <c r="C16" i="11"/>
  <c r="F15" i="11"/>
  <c r="E15" i="11"/>
  <c r="C15" i="11"/>
  <c r="F14" i="11"/>
  <c r="E14" i="11"/>
  <c r="C14" i="11"/>
  <c r="F13" i="11"/>
  <c r="E13" i="11"/>
  <c r="C13" i="11"/>
  <c r="F12" i="11"/>
  <c r="E12" i="11"/>
  <c r="C12" i="11"/>
  <c r="F11" i="11"/>
  <c r="E11" i="11"/>
  <c r="C11" i="11"/>
  <c r="F10" i="11"/>
  <c r="E10" i="11"/>
  <c r="C10" i="11"/>
  <c r="F9" i="11"/>
  <c r="E9" i="11"/>
  <c r="C9" i="11"/>
  <c r="F8" i="11"/>
  <c r="E8" i="11"/>
  <c r="C8" i="11"/>
  <c r="F7" i="11"/>
  <c r="E7" i="11"/>
  <c r="C7" i="11"/>
  <c r="F6" i="11"/>
  <c r="E6" i="11"/>
  <c r="C6" i="11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D14" i="15" l="1"/>
  <c r="B14" i="15" s="1"/>
  <c r="H7" i="15"/>
  <c r="H38" i="15" s="1"/>
  <c r="B21" i="15"/>
  <c r="V35" i="7"/>
  <c r="T35" i="7"/>
  <c r="B19" i="15"/>
  <c r="N16" i="15"/>
  <c r="C32" i="15" s="1"/>
  <c r="B35" i="15" s="1"/>
  <c r="B36" i="15" s="1"/>
  <c r="B37" i="15" s="1"/>
  <c r="F37" i="15" s="1"/>
  <c r="B20" i="15"/>
  <c r="B22" i="15" s="1"/>
  <c r="G26" i="15"/>
  <c r="B28" i="15" s="1"/>
  <c r="H26" i="15"/>
  <c r="G27" i="15"/>
  <c r="D12" i="4" s="1"/>
  <c r="H27" i="15"/>
  <c r="B11" i="15"/>
  <c r="B8" i="15" s="1"/>
  <c r="H37" i="15" l="1"/>
  <c r="J37" i="15" s="1"/>
  <c r="E7" i="15" s="1"/>
  <c r="B7" i="15" s="1"/>
  <c r="D11" i="4"/>
  <c r="D16" i="4"/>
  <c r="D43" i="4"/>
  <c r="D14" i="4"/>
  <c r="D42" i="4"/>
  <c r="B9" i="15"/>
  <c r="B25" i="15" s="1"/>
  <c r="N19" i="15"/>
  <c r="N20" i="15" s="1"/>
  <c r="D36" i="4"/>
  <c r="B12" i="15"/>
  <c r="D44" i="4"/>
  <c r="C1" i="6"/>
  <c r="B2" i="5"/>
  <c r="L7" i="16" l="1"/>
  <c r="L7" i="17"/>
  <c r="C41" i="4"/>
  <c r="Q27" i="7" s="1"/>
  <c r="B21" i="7" l="1"/>
  <c r="M6" i="1"/>
  <c r="A8" i="1"/>
  <c r="AA7" i="1" s="1"/>
  <c r="O6" i="1"/>
  <c r="P6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B7" i="1"/>
  <c r="B45" i="4"/>
  <c r="B25" i="7" l="1"/>
  <c r="B38" i="4"/>
  <c r="D37" i="4"/>
  <c r="D38" i="4"/>
  <c r="B40" i="4"/>
  <c r="D40" i="4"/>
  <c r="B39" i="4"/>
  <c r="B47" i="4"/>
  <c r="D46" i="4"/>
  <c r="C47" i="4"/>
  <c r="D7" i="4"/>
  <c r="B7" i="1"/>
  <c r="AE232" i="1"/>
  <c r="H7" i="1"/>
  <c r="D17" i="4"/>
  <c r="D47" i="4"/>
  <c r="AC192" i="1"/>
  <c r="AC218" i="1"/>
  <c r="AE8" i="1"/>
  <c r="AE21" i="1"/>
  <c r="AC196" i="1"/>
  <c r="AC202" i="1"/>
  <c r="AC208" i="1"/>
  <c r="AC10" i="1"/>
  <c r="AE17" i="1"/>
  <c r="AC193" i="1"/>
  <c r="AC205" i="1"/>
  <c r="AC219" i="1"/>
  <c r="AD9" i="1"/>
  <c r="AE19" i="1"/>
  <c r="AC197" i="1"/>
  <c r="AC226" i="1"/>
  <c r="AD12" i="1"/>
  <c r="AD23" i="1"/>
  <c r="AE25" i="1"/>
  <c r="AD27" i="1"/>
  <c r="AC221" i="1"/>
  <c r="AC209" i="1"/>
  <c r="AC222" i="1"/>
  <c r="AE11" i="1"/>
  <c r="AC22" i="1"/>
  <c r="AC198" i="1"/>
  <c r="AC210" i="1"/>
  <c r="AC199" i="1"/>
  <c r="AC211" i="1"/>
  <c r="AC229" i="1"/>
  <c r="AC14" i="1"/>
  <c r="AC190" i="1"/>
  <c r="AC200" i="1"/>
  <c r="AC215" i="1"/>
  <c r="AC231" i="1"/>
  <c r="AE14" i="1"/>
  <c r="AC191" i="1"/>
  <c r="AC201" i="1"/>
  <c r="AC216" i="1"/>
  <c r="AC232" i="1"/>
  <c r="AD15" i="1"/>
  <c r="AD36" i="1"/>
  <c r="AD17" i="1"/>
  <c r="AE22" i="1"/>
  <c r="AC32" i="1"/>
  <c r="AC48" i="1"/>
  <c r="AC100" i="1"/>
  <c r="AD32" i="1"/>
  <c r="AD50" i="1"/>
  <c r="AC234" i="1"/>
  <c r="AE12" i="1"/>
  <c r="AC18" i="1"/>
  <c r="AD25" i="1"/>
  <c r="AE33" i="1"/>
  <c r="AC213" i="1"/>
  <c r="AC224" i="1"/>
  <c r="AC9" i="1"/>
  <c r="AD14" i="1"/>
  <c r="AE20" i="1"/>
  <c r="AC26" i="1"/>
  <c r="AC39" i="1"/>
  <c r="AC60" i="1"/>
  <c r="AD39" i="1"/>
  <c r="AD65" i="1"/>
  <c r="AE28" i="1"/>
  <c r="AC68" i="1"/>
  <c r="AC206" i="1"/>
  <c r="AC217" i="1"/>
  <c r="AC230" i="1"/>
  <c r="AC11" i="1"/>
  <c r="AE16" i="1"/>
  <c r="AD22" i="1"/>
  <c r="AE31" i="1"/>
  <c r="AC73" i="1"/>
  <c r="AC225" i="1"/>
  <c r="AD8" i="1"/>
  <c r="AC12" i="1"/>
  <c r="AD16" i="1"/>
  <c r="AC20" i="1"/>
  <c r="AC25" i="1"/>
  <c r="AD31" i="1"/>
  <c r="AE36" i="1"/>
  <c r="AD48" i="1"/>
  <c r="AE60" i="1"/>
  <c r="AD81" i="1"/>
  <c r="AC19" i="1"/>
  <c r="AE27" i="1"/>
  <c r="AD34" i="1"/>
  <c r="AC194" i="1"/>
  <c r="AC204" i="1"/>
  <c r="AC214" i="1"/>
  <c r="AC223" i="1"/>
  <c r="AC233" i="1"/>
  <c r="AD11" i="1"/>
  <c r="AC15" i="1"/>
  <c r="AD19" i="1"/>
  <c r="AC23" i="1"/>
  <c r="AC28" i="1"/>
  <c r="AE34" i="1"/>
  <c r="AE46" i="1"/>
  <c r="AD58" i="1"/>
  <c r="AE90" i="1"/>
  <c r="AC65" i="1"/>
  <c r="AC74" i="1"/>
  <c r="AE86" i="1"/>
  <c r="AE96" i="1"/>
  <c r="AE110" i="1"/>
  <c r="AC88" i="1"/>
  <c r="AD99" i="1"/>
  <c r="AE56" i="1"/>
  <c r="AE65" i="1"/>
  <c r="AD88" i="1"/>
  <c r="AE99" i="1"/>
  <c r="AE50" i="1"/>
  <c r="AE58" i="1"/>
  <c r="AD70" i="1"/>
  <c r="AC81" i="1"/>
  <c r="AD93" i="1"/>
  <c r="AD101" i="1"/>
  <c r="AE93" i="1"/>
  <c r="AE107" i="1"/>
  <c r="AD73" i="1"/>
  <c r="AE83" i="1"/>
  <c r="AC94" i="1"/>
  <c r="AE108" i="1"/>
  <c r="AC31" i="1"/>
  <c r="AC35" i="1"/>
  <c r="AC44" i="1"/>
  <c r="AD62" i="1"/>
  <c r="AE73" i="1"/>
  <c r="AD86" i="1"/>
  <c r="AD94" i="1"/>
  <c r="AE109" i="1"/>
  <c r="AC71" i="1"/>
  <c r="AD78" i="1"/>
  <c r="AD84" i="1"/>
  <c r="AD91" i="1"/>
  <c r="AD97" i="1"/>
  <c r="AC105" i="1"/>
  <c r="AC128" i="1"/>
  <c r="AC62" i="1"/>
  <c r="AC70" i="1"/>
  <c r="AC83" i="1"/>
  <c r="AD90" i="1"/>
  <c r="AD96" i="1"/>
  <c r="AD103" i="1"/>
  <c r="AD116" i="1"/>
  <c r="AD104" i="1"/>
  <c r="AC121" i="1"/>
  <c r="AE9" i="1"/>
  <c r="AE13" i="1"/>
  <c r="AC17" i="1"/>
  <c r="AD20" i="1"/>
  <c r="AE24" i="1"/>
  <c r="AD28" i="1"/>
  <c r="AC34" i="1"/>
  <c r="AE39" i="1"/>
  <c r="AE48" i="1"/>
  <c r="AC55" i="1"/>
  <c r="AE62" i="1"/>
  <c r="AE70" i="1"/>
  <c r="AC84" i="1"/>
  <c r="AC91" i="1"/>
  <c r="AC97" i="1"/>
  <c r="AE104" i="1"/>
  <c r="AC122" i="1"/>
  <c r="AD24" i="1"/>
  <c r="AC27" i="1"/>
  <c r="AE29" i="1"/>
  <c r="AD33" i="1"/>
  <c r="AC36" i="1"/>
  <c r="AE41" i="1"/>
  <c r="AD46" i="1"/>
  <c r="AC50" i="1"/>
  <c r="AE53" i="1"/>
  <c r="AD56" i="1"/>
  <c r="AD61" i="1"/>
  <c r="AE64" i="1"/>
  <c r="AE75" i="1"/>
  <c r="AE79" i="1"/>
  <c r="AE82" i="1"/>
  <c r="AE85" i="1"/>
  <c r="AC90" i="1"/>
  <c r="AC93" i="1"/>
  <c r="AC96" i="1"/>
  <c r="AC99" i="1"/>
  <c r="AE102" i="1"/>
  <c r="AD107" i="1"/>
  <c r="AC115" i="1"/>
  <c r="AD155" i="1"/>
  <c r="AD44" i="1"/>
  <c r="AC49" i="1"/>
  <c r="AD55" i="1"/>
  <c r="AD60" i="1"/>
  <c r="AD68" i="1"/>
  <c r="AD71" i="1"/>
  <c r="AE74" i="1"/>
  <c r="AE78" i="1"/>
  <c r="AE81" i="1"/>
  <c r="AE84" i="1"/>
  <c r="AE88" i="1"/>
  <c r="AE91" i="1"/>
  <c r="AE94" i="1"/>
  <c r="AC98" i="1"/>
  <c r="AE101" i="1"/>
  <c r="AD105" i="1"/>
  <c r="AD111" i="1"/>
  <c r="AE128" i="1"/>
  <c r="AC85" i="1"/>
  <c r="AC92" i="1"/>
  <c r="AD95" i="1"/>
  <c r="AD98" i="1"/>
  <c r="AC102" i="1"/>
  <c r="AC106" i="1"/>
  <c r="AD112" i="1"/>
  <c r="AE133" i="1"/>
  <c r="AC227" i="1"/>
  <c r="AC235" i="1"/>
  <c r="AD10" i="1"/>
  <c r="AC13" i="1"/>
  <c r="AE15" i="1"/>
  <c r="AD18" i="1"/>
  <c r="AC21" i="1"/>
  <c r="AE23" i="1"/>
  <c r="AD26" i="1"/>
  <c r="AC29" i="1"/>
  <c r="AE32" i="1"/>
  <c r="AD35" i="1"/>
  <c r="AC41" i="1"/>
  <c r="AE44" i="1"/>
  <c r="AD49" i="1"/>
  <c r="AC53" i="1"/>
  <c r="AE55" i="1"/>
  <c r="AE68" i="1"/>
  <c r="AC75" i="1"/>
  <c r="AC79" i="1"/>
  <c r="AC82" i="1"/>
  <c r="AC89" i="1"/>
  <c r="AC195" i="1"/>
  <c r="AC203" i="1"/>
  <c r="AC212" i="1"/>
  <c r="AC220" i="1"/>
  <c r="AC228" i="1"/>
  <c r="AC8" i="1"/>
  <c r="AE10" i="1"/>
  <c r="AD13" i="1"/>
  <c r="AC16" i="1"/>
  <c r="AE18" i="1"/>
  <c r="AD21" i="1"/>
  <c r="AC24" i="1"/>
  <c r="AE26" i="1"/>
  <c r="AD29" i="1"/>
  <c r="AC33" i="1"/>
  <c r="AE35" i="1"/>
  <c r="AD41" i="1"/>
  <c r="AC46" i="1"/>
  <c r="AE49" i="1"/>
  <c r="AD53" i="1"/>
  <c r="AC56" i="1"/>
  <c r="AC61" i="1"/>
  <c r="AC64" i="1"/>
  <c r="AD75" i="1"/>
  <c r="AD79" i="1"/>
  <c r="AD82" i="1"/>
  <c r="AD85" i="1"/>
  <c r="AD89" i="1"/>
  <c r="AE92" i="1"/>
  <c r="AE95" i="1"/>
  <c r="AE98" i="1"/>
  <c r="AD102" i="1"/>
  <c r="AD106" i="1"/>
  <c r="AD113" i="1"/>
  <c r="AD137" i="1"/>
  <c r="D39" i="4"/>
  <c r="B41" i="4"/>
  <c r="AC101" i="1"/>
  <c r="AC104" i="1"/>
  <c r="AC107" i="1"/>
  <c r="AD110" i="1"/>
  <c r="AD114" i="1"/>
  <c r="AE118" i="1"/>
  <c r="AE125" i="1"/>
  <c r="AE132" i="1"/>
  <c r="AD144" i="1"/>
  <c r="AE114" i="1"/>
  <c r="AD119" i="1"/>
  <c r="AE126" i="1"/>
  <c r="AC133" i="1"/>
  <c r="AE144" i="1"/>
  <c r="AC147" i="1"/>
  <c r="AC108" i="1"/>
  <c r="AE111" i="1"/>
  <c r="AC116" i="1"/>
  <c r="AE121" i="1"/>
  <c r="AD128" i="1"/>
  <c r="AC134" i="1"/>
  <c r="AE152" i="1"/>
  <c r="AD109" i="1"/>
  <c r="AE112" i="1"/>
  <c r="AE116" i="1"/>
  <c r="AC123" i="1"/>
  <c r="AD129" i="1"/>
  <c r="AD138" i="1"/>
  <c r="AD164" i="1"/>
  <c r="AE117" i="1"/>
  <c r="AE123" i="1"/>
  <c r="AD131" i="1"/>
  <c r="AD139" i="1"/>
  <c r="AD180" i="1"/>
  <c r="AC58" i="1"/>
  <c r="AE61" i="1"/>
  <c r="AD64" i="1"/>
  <c r="AE71" i="1"/>
  <c r="AD74" i="1"/>
  <c r="AC78" i="1"/>
  <c r="AD83" i="1"/>
  <c r="AC86" i="1"/>
  <c r="AE89" i="1"/>
  <c r="AD92" i="1"/>
  <c r="AC95" i="1"/>
  <c r="AE97" i="1"/>
  <c r="AE100" i="1"/>
  <c r="AE103" i="1"/>
  <c r="AE106" i="1"/>
  <c r="AC110" i="1"/>
  <c r="AE113" i="1"/>
  <c r="AD118" i="1"/>
  <c r="AC124" i="1"/>
  <c r="AC132" i="1"/>
  <c r="AC142" i="1"/>
  <c r="AD120" i="1"/>
  <c r="AE124" i="1"/>
  <c r="AC131" i="1"/>
  <c r="AE136" i="1"/>
  <c r="AE143" i="1"/>
  <c r="AE151" i="1"/>
  <c r="AE159" i="1"/>
  <c r="AD170" i="1"/>
  <c r="AD152" i="1"/>
  <c r="AE161" i="1"/>
  <c r="AD171" i="1"/>
  <c r="AD163" i="1"/>
  <c r="AD177" i="1"/>
  <c r="AC139" i="1"/>
  <c r="AD146" i="1"/>
  <c r="AC155" i="1"/>
  <c r="AC164" i="1"/>
  <c r="AD178" i="1"/>
  <c r="AC141" i="1"/>
  <c r="AC149" i="1"/>
  <c r="AC158" i="1"/>
  <c r="AC165" i="1"/>
  <c r="AC182" i="1"/>
  <c r="AE149" i="1"/>
  <c r="AE158" i="1"/>
  <c r="AD169" i="1"/>
  <c r="AE204" i="1"/>
  <c r="AC109" i="1"/>
  <c r="AC112" i="1"/>
  <c r="AD115" i="1"/>
  <c r="AE119" i="1"/>
  <c r="AD124" i="1"/>
  <c r="AC130" i="1"/>
  <c r="AD136" i="1"/>
  <c r="AE142" i="1"/>
  <c r="AC150" i="1"/>
  <c r="AC159" i="1"/>
  <c r="AE169" i="1"/>
  <c r="AC148" i="1"/>
  <c r="AD154" i="1"/>
  <c r="AD161" i="1"/>
  <c r="AC167" i="1"/>
  <c r="AE175" i="1"/>
  <c r="AC188" i="1"/>
  <c r="AE168" i="1"/>
  <c r="AE176" i="1"/>
  <c r="AC189" i="1"/>
  <c r="AE191" i="1"/>
  <c r="AD202" i="1"/>
  <c r="AD203" i="1"/>
  <c r="AC166" i="1"/>
  <c r="AC172" i="1"/>
  <c r="AE185" i="1"/>
  <c r="AE208" i="1"/>
  <c r="AD100" i="1"/>
  <c r="AC103" i="1"/>
  <c r="AE105" i="1"/>
  <c r="AD108" i="1"/>
  <c r="AC111" i="1"/>
  <c r="AC114" i="1"/>
  <c r="AC117" i="1"/>
  <c r="AD121" i="1"/>
  <c r="AC125" i="1"/>
  <c r="AD130" i="1"/>
  <c r="AE135" i="1"/>
  <c r="AE141" i="1"/>
  <c r="AD147" i="1"/>
  <c r="AD153" i="1"/>
  <c r="AE160" i="1"/>
  <c r="AE166" i="1"/>
  <c r="AC173" i="1"/>
  <c r="AE225" i="1"/>
  <c r="AC175" i="1"/>
  <c r="AE183" i="1"/>
  <c r="AE196" i="1"/>
  <c r="AE213" i="1"/>
  <c r="AE199" i="1"/>
  <c r="AE216" i="1"/>
  <c r="AD219" i="1"/>
  <c r="AD220" i="1"/>
  <c r="AE221" i="1"/>
  <c r="AD194" i="1"/>
  <c r="AD211" i="1"/>
  <c r="AD228" i="1"/>
  <c r="AC113" i="1"/>
  <c r="AE115" i="1"/>
  <c r="AC119" i="1"/>
  <c r="AD122" i="1"/>
  <c r="AD126" i="1"/>
  <c r="AE130" i="1"/>
  <c r="AE134" i="1"/>
  <c r="AC140" i="1"/>
  <c r="AD145" i="1"/>
  <c r="AE150" i="1"/>
  <c r="AC156" i="1"/>
  <c r="AD162" i="1"/>
  <c r="AE167" i="1"/>
  <c r="AE174" i="1"/>
  <c r="AE182" i="1"/>
  <c r="AD195" i="1"/>
  <c r="AD212" i="1"/>
  <c r="AD232" i="1"/>
  <c r="AC181" i="1"/>
  <c r="AD186" i="1"/>
  <c r="AE192" i="1"/>
  <c r="AE200" i="1"/>
  <c r="AE209" i="1"/>
  <c r="AE217" i="1"/>
  <c r="AD227" i="1"/>
  <c r="AE229" i="1"/>
  <c r="AD172" i="1"/>
  <c r="AE177" i="1"/>
  <c r="AC183" i="1"/>
  <c r="AD188" i="1"/>
  <c r="AE195" i="1"/>
  <c r="AE203" i="1"/>
  <c r="AE212" i="1"/>
  <c r="AE220" i="1"/>
  <c r="AD231" i="1"/>
  <c r="AC174" i="1"/>
  <c r="AD179" i="1"/>
  <c r="AE184" i="1"/>
  <c r="AD190" i="1"/>
  <c r="AD198" i="1"/>
  <c r="AD206" i="1"/>
  <c r="AD215" i="1"/>
  <c r="AD223" i="1"/>
  <c r="AE233" i="1"/>
  <c r="AC180" i="1"/>
  <c r="AD185" i="1"/>
  <c r="AD191" i="1"/>
  <c r="AD199" i="1"/>
  <c r="AD208" i="1"/>
  <c r="AD216" i="1"/>
  <c r="AD224" i="1"/>
  <c r="AD117" i="1"/>
  <c r="AC120" i="1"/>
  <c r="AE122" i="1"/>
  <c r="AD125" i="1"/>
  <c r="AC129" i="1"/>
  <c r="AE131" i="1"/>
  <c r="AD134" i="1"/>
  <c r="AC137" i="1"/>
  <c r="AE139" i="1"/>
  <c r="AD142" i="1"/>
  <c r="AC145" i="1"/>
  <c r="AE147" i="1"/>
  <c r="AD150" i="1"/>
  <c r="AC153" i="1"/>
  <c r="AE155" i="1"/>
  <c r="AD159" i="1"/>
  <c r="AC162" i="1"/>
  <c r="AE164" i="1"/>
  <c r="AD167" i="1"/>
  <c r="AC170" i="1"/>
  <c r="AE172" i="1"/>
  <c r="AD175" i="1"/>
  <c r="AC178" i="1"/>
  <c r="AE180" i="1"/>
  <c r="AD183" i="1"/>
  <c r="AC186" i="1"/>
  <c r="AE188" i="1"/>
  <c r="AD192" i="1"/>
  <c r="AD196" i="1"/>
  <c r="AD200" i="1"/>
  <c r="AD204" i="1"/>
  <c r="AD209" i="1"/>
  <c r="AD213" i="1"/>
  <c r="AD217" i="1"/>
  <c r="AD221" i="1"/>
  <c r="AD225" i="1"/>
  <c r="AD229" i="1"/>
  <c r="AD233" i="1"/>
  <c r="AC118" i="1"/>
  <c r="AE120" i="1"/>
  <c r="AD123" i="1"/>
  <c r="AC126" i="1"/>
  <c r="AE129" i="1"/>
  <c r="AD132" i="1"/>
  <c r="AC135" i="1"/>
  <c r="AE137" i="1"/>
  <c r="AD140" i="1"/>
  <c r="AC143" i="1"/>
  <c r="AE145" i="1"/>
  <c r="AD148" i="1"/>
  <c r="AC151" i="1"/>
  <c r="AE153" i="1"/>
  <c r="AD156" i="1"/>
  <c r="AC160" i="1"/>
  <c r="AE162" i="1"/>
  <c r="AD165" i="1"/>
  <c r="AC168" i="1"/>
  <c r="AE170" i="1"/>
  <c r="AD173" i="1"/>
  <c r="AC176" i="1"/>
  <c r="AE178" i="1"/>
  <c r="AD181" i="1"/>
  <c r="AC184" i="1"/>
  <c r="AE186" i="1"/>
  <c r="AD189" i="1"/>
  <c r="AD193" i="1"/>
  <c r="AD197" i="1"/>
  <c r="AD201" i="1"/>
  <c r="AD205" i="1"/>
  <c r="AD210" i="1"/>
  <c r="AD214" i="1"/>
  <c r="AD218" i="1"/>
  <c r="AD222" i="1"/>
  <c r="AD226" i="1"/>
  <c r="AD230" i="1"/>
  <c r="AD234" i="1"/>
  <c r="AD135" i="1"/>
  <c r="AC138" i="1"/>
  <c r="AE140" i="1"/>
  <c r="AD143" i="1"/>
  <c r="AC146" i="1"/>
  <c r="AE148" i="1"/>
  <c r="AD151" i="1"/>
  <c r="AC154" i="1"/>
  <c r="AE156" i="1"/>
  <c r="AD160" i="1"/>
  <c r="AC163" i="1"/>
  <c r="AE165" i="1"/>
  <c r="AD168" i="1"/>
  <c r="AC171" i="1"/>
  <c r="AE173" i="1"/>
  <c r="AD176" i="1"/>
  <c r="AC179" i="1"/>
  <c r="AE181" i="1"/>
  <c r="AD184" i="1"/>
  <c r="AE189" i="1"/>
  <c r="AE193" i="1"/>
  <c r="AE197" i="1"/>
  <c r="AE201" i="1"/>
  <c r="AE205" i="1"/>
  <c r="AE210" i="1"/>
  <c r="AE214" i="1"/>
  <c r="AE218" i="1"/>
  <c r="AE222" i="1"/>
  <c r="AE226" i="1"/>
  <c r="AE230" i="1"/>
  <c r="AE234" i="1"/>
  <c r="AD235" i="1"/>
  <c r="AD133" i="1"/>
  <c r="AC136" i="1"/>
  <c r="AE138" i="1"/>
  <c r="AD141" i="1"/>
  <c r="AC144" i="1"/>
  <c r="AE146" i="1"/>
  <c r="AD149" i="1"/>
  <c r="AC152" i="1"/>
  <c r="AE154" i="1"/>
  <c r="AD158" i="1"/>
  <c r="AC161" i="1"/>
  <c r="AE163" i="1"/>
  <c r="AD166" i="1"/>
  <c r="AC169" i="1"/>
  <c r="AE171" i="1"/>
  <c r="AD174" i="1"/>
  <c r="AC177" i="1"/>
  <c r="AE179" i="1"/>
  <c r="AD182" i="1"/>
  <c r="AC185" i="1"/>
  <c r="AE190" i="1"/>
  <c r="AE194" i="1"/>
  <c r="AE198" i="1"/>
  <c r="AE202" i="1"/>
  <c r="AE206" i="1"/>
  <c r="AE211" i="1"/>
  <c r="AE215" i="1"/>
  <c r="AE219" i="1"/>
  <c r="AE223" i="1"/>
  <c r="AE227" i="1"/>
  <c r="AE231" i="1"/>
  <c r="AE235" i="1"/>
  <c r="AE224" i="1"/>
  <c r="AE228" i="1"/>
  <c r="B4" i="4"/>
  <c r="B14" i="4"/>
  <c r="B13" i="4"/>
  <c r="L5" i="16" l="1"/>
  <c r="L5" i="17"/>
  <c r="B5" i="12"/>
  <c r="C5" i="12" s="1"/>
  <c r="B13" i="12"/>
  <c r="C13" i="12" s="1"/>
  <c r="B21" i="12"/>
  <c r="C21" i="12" s="1"/>
  <c r="B12" i="12"/>
  <c r="C12" i="12" s="1"/>
  <c r="B20" i="12"/>
  <c r="C20" i="12" s="1"/>
  <c r="B11" i="12"/>
  <c r="C11" i="12" s="1"/>
  <c r="B19" i="12"/>
  <c r="C19" i="12" s="1"/>
  <c r="B24" i="12"/>
  <c r="C24" i="12" s="1"/>
  <c r="B10" i="12"/>
  <c r="C10" i="12" s="1"/>
  <c r="B18" i="12"/>
  <c r="C18" i="12" s="1"/>
  <c r="B25" i="12"/>
  <c r="C25" i="12" s="1"/>
  <c r="B9" i="12"/>
  <c r="C9" i="12" s="1"/>
  <c r="B17" i="12"/>
  <c r="C17" i="12" s="1"/>
  <c r="B8" i="12"/>
  <c r="C8" i="12" s="1"/>
  <c r="B16" i="12"/>
  <c r="C16" i="12" s="1"/>
  <c r="B7" i="12"/>
  <c r="C7" i="12" s="1"/>
  <c r="B15" i="12"/>
  <c r="C15" i="12" s="1"/>
  <c r="B23" i="12"/>
  <c r="C23" i="12" s="1"/>
  <c r="B6" i="12"/>
  <c r="C6" i="12" s="1"/>
  <c r="B14" i="12"/>
  <c r="C14" i="12" s="1"/>
  <c r="B22" i="12"/>
  <c r="C22" i="12" s="1"/>
  <c r="D3" i="7"/>
  <c r="K3" i="7"/>
  <c r="C39" i="4"/>
  <c r="D7" i="1"/>
  <c r="C46" i="4"/>
  <c r="Z7" i="1"/>
  <c r="Y7" i="1"/>
  <c r="E7" i="1"/>
  <c r="AK7" i="1"/>
  <c r="AK40" i="1"/>
  <c r="AK211" i="1"/>
  <c r="AK183" i="1"/>
  <c r="AK119" i="1"/>
  <c r="AK55" i="1"/>
  <c r="AK101" i="1"/>
  <c r="AK39" i="1"/>
  <c r="AK86" i="1"/>
  <c r="AK188" i="1"/>
  <c r="AK124" i="1"/>
  <c r="AK60" i="1"/>
  <c r="AK147" i="1"/>
  <c r="AK83" i="1"/>
  <c r="AK21" i="1"/>
  <c r="AK8" i="1"/>
  <c r="AK194" i="1"/>
  <c r="AK130" i="1"/>
  <c r="AK66" i="1"/>
  <c r="AK190" i="1"/>
  <c r="AK173" i="1"/>
  <c r="AK195" i="1"/>
  <c r="AK217" i="1"/>
  <c r="AK153" i="1"/>
  <c r="AK89" i="1"/>
  <c r="AK19" i="1"/>
  <c r="AK184" i="1"/>
  <c r="AK120" i="1"/>
  <c r="AK56" i="1"/>
  <c r="AF33" i="1"/>
  <c r="AF25" i="1"/>
  <c r="AF17" i="1"/>
  <c r="AF9" i="1"/>
  <c r="AF230" i="1"/>
  <c r="AF222" i="1"/>
  <c r="AF214" i="1"/>
  <c r="AF206" i="1"/>
  <c r="AF198" i="1"/>
  <c r="AF190" i="1"/>
  <c r="AF182" i="1"/>
  <c r="AF43" i="1"/>
  <c r="AF51" i="1"/>
  <c r="AF59" i="1"/>
  <c r="AF67" i="1"/>
  <c r="AF75" i="1"/>
  <c r="AF83" i="1"/>
  <c r="AF91" i="1"/>
  <c r="AF99" i="1"/>
  <c r="AF107" i="1"/>
  <c r="AF115" i="1"/>
  <c r="AF123" i="1"/>
  <c r="AF131" i="1"/>
  <c r="AF139" i="1"/>
  <c r="AF147" i="1"/>
  <c r="AF155" i="1"/>
  <c r="AF163" i="1"/>
  <c r="AF171" i="1"/>
  <c r="AF179" i="1"/>
  <c r="AK229" i="1"/>
  <c r="AK167" i="1"/>
  <c r="AK103" i="1"/>
  <c r="AK41" i="1"/>
  <c r="AK85" i="1"/>
  <c r="AK23" i="1"/>
  <c r="AK16" i="1"/>
  <c r="AK172" i="1"/>
  <c r="AK108" i="1"/>
  <c r="AK44" i="1"/>
  <c r="AK131" i="1"/>
  <c r="AK67" i="1"/>
  <c r="AK214" i="1"/>
  <c r="AK189" i="1"/>
  <c r="AK178" i="1"/>
  <c r="AK114" i="1"/>
  <c r="AK50" i="1"/>
  <c r="AK134" i="1"/>
  <c r="AK141" i="1"/>
  <c r="AK163" i="1"/>
  <c r="AK201" i="1"/>
  <c r="AK137" i="1"/>
  <c r="AK73" i="1"/>
  <c r="AK232" i="1"/>
  <c r="AK168" i="1"/>
  <c r="AK104" i="1"/>
  <c r="AK42" i="1"/>
  <c r="AK32" i="1"/>
  <c r="AK187" i="1"/>
  <c r="AK175" i="1"/>
  <c r="AK111" i="1"/>
  <c r="AK47" i="1"/>
  <c r="AK93" i="1"/>
  <c r="AK31" i="1"/>
  <c r="AK54" i="1"/>
  <c r="AK180" i="1"/>
  <c r="AK116" i="1"/>
  <c r="AK52" i="1"/>
  <c r="AK139" i="1"/>
  <c r="AK75" i="1"/>
  <c r="AK13" i="1"/>
  <c r="AK213" i="1"/>
  <c r="AK186" i="1"/>
  <c r="AK122" i="1"/>
  <c r="AK58" i="1"/>
  <c r="AK158" i="1"/>
  <c r="AK149" i="1"/>
  <c r="AK171" i="1"/>
  <c r="AK209" i="1"/>
  <c r="AK145" i="1"/>
  <c r="AK81" i="1"/>
  <c r="AK11" i="1"/>
  <c r="AK176" i="1"/>
  <c r="AK112" i="1"/>
  <c r="AK48" i="1"/>
  <c r="AF32" i="1"/>
  <c r="AF24" i="1"/>
  <c r="AF16" i="1"/>
  <c r="AF8" i="1"/>
  <c r="AF229" i="1"/>
  <c r="AF221" i="1"/>
  <c r="AF213" i="1"/>
  <c r="AF205" i="1"/>
  <c r="AF197" i="1"/>
  <c r="AF189" i="1"/>
  <c r="AF181" i="1"/>
  <c r="AF44" i="1"/>
  <c r="AF52" i="1"/>
  <c r="AF60" i="1"/>
  <c r="AF68" i="1"/>
  <c r="AF76" i="1"/>
  <c r="AF84" i="1"/>
  <c r="AF92" i="1"/>
  <c r="AF100" i="1"/>
  <c r="AF108" i="1"/>
  <c r="AF116" i="1"/>
  <c r="AF124" i="1"/>
  <c r="AF132" i="1"/>
  <c r="AF140" i="1"/>
  <c r="AF148" i="1"/>
  <c r="AF156" i="1"/>
  <c r="AF164" i="1"/>
  <c r="AF172" i="1"/>
  <c r="AF180" i="1"/>
  <c r="AK206" i="1"/>
  <c r="AK221" i="1"/>
  <c r="AK223" i="1"/>
  <c r="AK159" i="1"/>
  <c r="AK95" i="1"/>
  <c r="AK33" i="1"/>
  <c r="AK77" i="1"/>
  <c r="AK15" i="1"/>
  <c r="AK228" i="1"/>
  <c r="AK164" i="1"/>
  <c r="AK100" i="1"/>
  <c r="AK38" i="1"/>
  <c r="AK123" i="1"/>
  <c r="AK59" i="1"/>
  <c r="AK174" i="1"/>
  <c r="AK157" i="1"/>
  <c r="AK170" i="1"/>
  <c r="AK106" i="1"/>
  <c r="AK36" i="1"/>
  <c r="AK110" i="1"/>
  <c r="AK125" i="1"/>
  <c r="AK155" i="1"/>
  <c r="AK193" i="1"/>
  <c r="AK129" i="1"/>
  <c r="AK65" i="1"/>
  <c r="AK224" i="1"/>
  <c r="AK160" i="1"/>
  <c r="AK96" i="1"/>
  <c r="AK34" i="1"/>
  <c r="AF30" i="1"/>
  <c r="AF22" i="1"/>
  <c r="AF14" i="1"/>
  <c r="AF235" i="1"/>
  <c r="AF227" i="1"/>
  <c r="AF219" i="1"/>
  <c r="AF211" i="1"/>
  <c r="AF203" i="1"/>
  <c r="AF195" i="1"/>
  <c r="AF187" i="1"/>
  <c r="AF38" i="1"/>
  <c r="AF46" i="1"/>
  <c r="AF54" i="1"/>
  <c r="AF62" i="1"/>
  <c r="AF70" i="1"/>
  <c r="AF78" i="1"/>
  <c r="AF86" i="1"/>
  <c r="AF94" i="1"/>
  <c r="AF102" i="1"/>
  <c r="AF110" i="1"/>
  <c r="AF118" i="1"/>
  <c r="AF126" i="1"/>
  <c r="AF134" i="1"/>
  <c r="AF142" i="1"/>
  <c r="AF150" i="1"/>
  <c r="AF158" i="1"/>
  <c r="AF166" i="1"/>
  <c r="AF174" i="1"/>
  <c r="AK182" i="1"/>
  <c r="AK197" i="1"/>
  <c r="AK215" i="1"/>
  <c r="AK151" i="1"/>
  <c r="AK87" i="1"/>
  <c r="AK25" i="1"/>
  <c r="AK69" i="1"/>
  <c r="AK230" i="1"/>
  <c r="AK220" i="1"/>
  <c r="AK156" i="1"/>
  <c r="AK92" i="1"/>
  <c r="AK30" i="1"/>
  <c r="AK115" i="1"/>
  <c r="AK51" i="1"/>
  <c r="AK150" i="1"/>
  <c r="AK117" i="1"/>
  <c r="AK162" i="1"/>
  <c r="AK98" i="1"/>
  <c r="AK28" i="1"/>
  <c r="AK78" i="1"/>
  <c r="AK109" i="1"/>
  <c r="AK234" i="1"/>
  <c r="AK185" i="1"/>
  <c r="AK121" i="1"/>
  <c r="AK57" i="1"/>
  <c r="AK216" i="1"/>
  <c r="AK152" i="1"/>
  <c r="AK88" i="1"/>
  <c r="AK26" i="1"/>
  <c r="AF29" i="1"/>
  <c r="AF21" i="1"/>
  <c r="AF13" i="1"/>
  <c r="AF234" i="1"/>
  <c r="AF226" i="1"/>
  <c r="AF218" i="1"/>
  <c r="AF210" i="1"/>
  <c r="AF202" i="1"/>
  <c r="AF194" i="1"/>
  <c r="AF186" i="1"/>
  <c r="AF39" i="1"/>
  <c r="AF47" i="1"/>
  <c r="AF55" i="1"/>
  <c r="AF63" i="1"/>
  <c r="AF71" i="1"/>
  <c r="AF79" i="1"/>
  <c r="AF87" i="1"/>
  <c r="AF95" i="1"/>
  <c r="AF103" i="1"/>
  <c r="AF111" i="1"/>
  <c r="AF119" i="1"/>
  <c r="AF127" i="1"/>
  <c r="AF135" i="1"/>
  <c r="AF143" i="1"/>
  <c r="AF151" i="1"/>
  <c r="AF159" i="1"/>
  <c r="AF167" i="1"/>
  <c r="AF175" i="1"/>
  <c r="AK142" i="1"/>
  <c r="AK165" i="1"/>
  <c r="AK207" i="1"/>
  <c r="AK143" i="1"/>
  <c r="AK79" i="1"/>
  <c r="AK17" i="1"/>
  <c r="AK61" i="1"/>
  <c r="AK198" i="1"/>
  <c r="AK212" i="1"/>
  <c r="AK148" i="1"/>
  <c r="AK84" i="1"/>
  <c r="AK22" i="1"/>
  <c r="AK107" i="1"/>
  <c r="AK43" i="1"/>
  <c r="AK126" i="1"/>
  <c r="AK226" i="1"/>
  <c r="AK154" i="1"/>
  <c r="AK90" i="1"/>
  <c r="AK20" i="1"/>
  <c r="AK46" i="1"/>
  <c r="AK235" i="1"/>
  <c r="AK218" i="1"/>
  <c r="AK177" i="1"/>
  <c r="AK113" i="1"/>
  <c r="AK49" i="1"/>
  <c r="AK208" i="1"/>
  <c r="AK144" i="1"/>
  <c r="AK80" i="1"/>
  <c r="AK18" i="1"/>
  <c r="AF36" i="1"/>
  <c r="AF28" i="1"/>
  <c r="AF20" i="1"/>
  <c r="AF12" i="1"/>
  <c r="AF233" i="1"/>
  <c r="AF225" i="1"/>
  <c r="AF217" i="1"/>
  <c r="AF209" i="1"/>
  <c r="AF201" i="1"/>
  <c r="AF193" i="1"/>
  <c r="AF185" i="1"/>
  <c r="AF40" i="1"/>
  <c r="AF48" i="1"/>
  <c r="AF56" i="1"/>
  <c r="AF64" i="1"/>
  <c r="AF72" i="1"/>
  <c r="AF80" i="1"/>
  <c r="AF88" i="1"/>
  <c r="AF96" i="1"/>
  <c r="AF104" i="1"/>
  <c r="AF112" i="1"/>
  <c r="AF120" i="1"/>
  <c r="AF128" i="1"/>
  <c r="AF136" i="1"/>
  <c r="AF144" i="1"/>
  <c r="AF152" i="1"/>
  <c r="AF160" i="1"/>
  <c r="AF168" i="1"/>
  <c r="AF176" i="1"/>
  <c r="AK94" i="1"/>
  <c r="AK133" i="1"/>
  <c r="AK199" i="1"/>
  <c r="AK135" i="1"/>
  <c r="AK71" i="1"/>
  <c r="AK9" i="1"/>
  <c r="AK53" i="1"/>
  <c r="AK166" i="1"/>
  <c r="AK204" i="1"/>
  <c r="AK140" i="1"/>
  <c r="AK76" i="1"/>
  <c r="AK14" i="1"/>
  <c r="AK99" i="1"/>
  <c r="AK37" i="1"/>
  <c r="AK102" i="1"/>
  <c r="AK210" i="1"/>
  <c r="AK146" i="1"/>
  <c r="AK82" i="1"/>
  <c r="AK12" i="1"/>
  <c r="AK24" i="1"/>
  <c r="AK219" i="1"/>
  <c r="AK233" i="1"/>
  <c r="AK169" i="1"/>
  <c r="AK105" i="1"/>
  <c r="AK35" i="1"/>
  <c r="AK200" i="1"/>
  <c r="AK136" i="1"/>
  <c r="AK72" i="1"/>
  <c r="AK10" i="1"/>
  <c r="AF35" i="1"/>
  <c r="AF27" i="1"/>
  <c r="AF19" i="1"/>
  <c r="AF11" i="1"/>
  <c r="AF232" i="1"/>
  <c r="AF224" i="1"/>
  <c r="AF216" i="1"/>
  <c r="AF208" i="1"/>
  <c r="AF200" i="1"/>
  <c r="AF192" i="1"/>
  <c r="AF184" i="1"/>
  <c r="AF41" i="1"/>
  <c r="AF49" i="1"/>
  <c r="AF57" i="1"/>
  <c r="AF65" i="1"/>
  <c r="AF73" i="1"/>
  <c r="AF81" i="1"/>
  <c r="AF89" i="1"/>
  <c r="AF97" i="1"/>
  <c r="AF105" i="1"/>
  <c r="AF113" i="1"/>
  <c r="AF121" i="1"/>
  <c r="AF129" i="1"/>
  <c r="AF137" i="1"/>
  <c r="AF145" i="1"/>
  <c r="AF153" i="1"/>
  <c r="AF161" i="1"/>
  <c r="AF169" i="1"/>
  <c r="AF177" i="1"/>
  <c r="AK70" i="1"/>
  <c r="AK227" i="1"/>
  <c r="AK191" i="1"/>
  <c r="AK127" i="1"/>
  <c r="AK63" i="1"/>
  <c r="AK181" i="1"/>
  <c r="AK45" i="1"/>
  <c r="AK118" i="1"/>
  <c r="AK196" i="1"/>
  <c r="AK132" i="1"/>
  <c r="AK68" i="1"/>
  <c r="AK179" i="1"/>
  <c r="AK91" i="1"/>
  <c r="AK29" i="1"/>
  <c r="AK62" i="1"/>
  <c r="AK202" i="1"/>
  <c r="AK138" i="1"/>
  <c r="AK74" i="1"/>
  <c r="AK222" i="1"/>
  <c r="AK205" i="1"/>
  <c r="AK203" i="1"/>
  <c r="AK225" i="1"/>
  <c r="AK161" i="1"/>
  <c r="AK97" i="1"/>
  <c r="AK27" i="1"/>
  <c r="AK192" i="1"/>
  <c r="AK128" i="1"/>
  <c r="AK64" i="1"/>
  <c r="AF34" i="1"/>
  <c r="AF26" i="1"/>
  <c r="AF18" i="1"/>
  <c r="AF10" i="1"/>
  <c r="AF231" i="1"/>
  <c r="AF223" i="1"/>
  <c r="AF215" i="1"/>
  <c r="AF207" i="1"/>
  <c r="AF199" i="1"/>
  <c r="AF191" i="1"/>
  <c r="AF183" i="1"/>
  <c r="AF42" i="1"/>
  <c r="AF50" i="1"/>
  <c r="AF58" i="1"/>
  <c r="AF66" i="1"/>
  <c r="AF74" i="1"/>
  <c r="AF82" i="1"/>
  <c r="AF90" i="1"/>
  <c r="AF98" i="1"/>
  <c r="AF106" i="1"/>
  <c r="AF114" i="1"/>
  <c r="AF122" i="1"/>
  <c r="AF130" i="1"/>
  <c r="AF138" i="1"/>
  <c r="AF146" i="1"/>
  <c r="AF154" i="1"/>
  <c r="AF162" i="1"/>
  <c r="AF170" i="1"/>
  <c r="AF178" i="1"/>
  <c r="AF204" i="1"/>
  <c r="AF77" i="1"/>
  <c r="AF141" i="1"/>
  <c r="AF31" i="1"/>
  <c r="AF196" i="1"/>
  <c r="AF85" i="1"/>
  <c r="AF149" i="1"/>
  <c r="AK231" i="1"/>
  <c r="AF23" i="1"/>
  <c r="AF188" i="1"/>
  <c r="AF93" i="1"/>
  <c r="AF157" i="1"/>
  <c r="AF15" i="1"/>
  <c r="AF37" i="1"/>
  <c r="AF101" i="1"/>
  <c r="AF165" i="1"/>
  <c r="AF7" i="1"/>
  <c r="AJ7" i="1" s="1"/>
  <c r="AF45" i="1"/>
  <c r="AF109" i="1"/>
  <c r="AF173" i="1"/>
  <c r="AF228" i="1"/>
  <c r="AF53" i="1"/>
  <c r="AF117" i="1"/>
  <c r="AF220" i="1"/>
  <c r="AF61" i="1"/>
  <c r="AF125" i="1"/>
  <c r="AF212" i="1"/>
  <c r="AF69" i="1"/>
  <c r="AF133" i="1"/>
  <c r="F7" i="1" l="1"/>
  <c r="G7" i="1"/>
  <c r="AI7" i="1"/>
  <c r="AH7" i="1"/>
  <c r="I7" i="1" l="1"/>
  <c r="K7" i="1" l="1"/>
  <c r="C8" i="1" s="1"/>
  <c r="N7" i="1" s="1"/>
  <c r="J7" i="1"/>
  <c r="B8" i="1" s="1"/>
  <c r="M7" i="1" s="1"/>
  <c r="L7" i="1"/>
  <c r="D8" i="1" s="1"/>
  <c r="P7" i="1" s="1"/>
  <c r="AD7" i="1" l="1"/>
  <c r="X7" i="1"/>
  <c r="U7" i="1" s="1"/>
  <c r="AE7" i="1"/>
  <c r="AG7" i="1"/>
  <c r="AC7" i="1"/>
  <c r="Q7" i="1"/>
  <c r="V7" i="1" s="1"/>
  <c r="O7" i="1"/>
  <c r="AB8" i="1"/>
  <c r="AI8" i="1"/>
  <c r="AH8" i="1"/>
  <c r="T7" i="1" l="1"/>
  <c r="E8" i="1"/>
  <c r="Y8" i="1"/>
  <c r="H8" i="1"/>
  <c r="Z8" i="1"/>
  <c r="AA8" i="1"/>
  <c r="AJ8" i="1" l="1"/>
  <c r="F8" i="1"/>
  <c r="G8" i="1"/>
  <c r="I8" i="1" l="1"/>
  <c r="AH9" i="1"/>
  <c r="K8" i="1" l="1"/>
  <c r="C9" i="1" s="1"/>
  <c r="N8" i="1" s="1"/>
  <c r="J8" i="1"/>
  <c r="B9" i="1" s="1"/>
  <c r="L8" i="1"/>
  <c r="D9" i="1" s="1"/>
  <c r="P8" i="1" s="1"/>
  <c r="X8" i="1" l="1"/>
  <c r="U8" i="1" s="1"/>
  <c r="O8" i="1"/>
  <c r="M8" i="1"/>
  <c r="AB9" i="1"/>
  <c r="AI9" i="1"/>
  <c r="AG8" i="1" l="1"/>
  <c r="Q8" i="1"/>
  <c r="E9" i="1"/>
  <c r="Y9" i="1"/>
  <c r="H9" i="1"/>
  <c r="AA9" i="1"/>
  <c r="Z9" i="1"/>
  <c r="AH10" i="1"/>
  <c r="AJ9" i="1" l="1"/>
  <c r="T8" i="1"/>
  <c r="F9" i="1"/>
  <c r="G9" i="1"/>
  <c r="I9" i="1" l="1"/>
  <c r="L9" i="1" l="1"/>
  <c r="D10" i="1" s="1"/>
  <c r="P9" i="1" s="1"/>
  <c r="X9" i="1" s="1"/>
  <c r="J9" i="1"/>
  <c r="B10" i="1" s="1"/>
  <c r="K9" i="1"/>
  <c r="C10" i="1" s="1"/>
  <c r="N9" i="1" s="1"/>
  <c r="AH11" i="1"/>
  <c r="U9" i="1" l="1"/>
  <c r="O9" i="1"/>
  <c r="M9" i="1"/>
  <c r="AG9" i="1" s="1"/>
  <c r="AB10" i="1"/>
  <c r="AI10" i="1"/>
  <c r="Q9" i="1" l="1"/>
  <c r="Z10" i="1"/>
  <c r="H10" i="1"/>
  <c r="Y10" i="1"/>
  <c r="AA10" i="1"/>
  <c r="E10" i="1"/>
  <c r="AJ10" i="1" l="1"/>
  <c r="V9" i="1"/>
  <c r="T9" i="1"/>
  <c r="G10" i="1"/>
  <c r="F10" i="1"/>
  <c r="AH12" i="1"/>
  <c r="I10" i="1" l="1"/>
  <c r="K10" i="1" l="1"/>
  <c r="C11" i="1" s="1"/>
  <c r="N10" i="1" s="1"/>
  <c r="L10" i="1"/>
  <c r="D11" i="1" s="1"/>
  <c r="P10" i="1" s="1"/>
  <c r="X10" i="1" s="1"/>
  <c r="J10" i="1"/>
  <c r="B11" i="1" s="1"/>
  <c r="M10" i="1" s="1"/>
  <c r="AG10" i="1" s="1"/>
  <c r="U10" i="1" l="1"/>
  <c r="Q10" i="1"/>
  <c r="O10" i="1"/>
  <c r="AB11" i="1"/>
  <c r="AI11" i="1"/>
  <c r="AH13" i="1"/>
  <c r="T10" i="1" l="1"/>
  <c r="E11" i="1"/>
  <c r="AA11" i="1"/>
  <c r="AJ11" i="1" s="1"/>
  <c r="Z11" i="1"/>
  <c r="H11" i="1"/>
  <c r="Y11" i="1"/>
  <c r="G11" i="1" l="1"/>
  <c r="F11" i="1"/>
  <c r="I11" i="1" l="1"/>
  <c r="J11" i="1" s="1"/>
  <c r="B12" i="1" s="1"/>
  <c r="M11" i="1" s="1"/>
  <c r="AG11" i="1" s="1"/>
  <c r="AH14" i="1"/>
  <c r="K11" i="1" l="1"/>
  <c r="C12" i="1" s="1"/>
  <c r="N11" i="1" s="1"/>
  <c r="L11" i="1"/>
  <c r="D12" i="1" s="1"/>
  <c r="P11" i="1" l="1"/>
  <c r="AB12" i="1"/>
  <c r="O11" i="1"/>
  <c r="AI12" i="1"/>
  <c r="E12" i="1" l="1"/>
  <c r="F12" i="1" s="1"/>
  <c r="X11" i="1"/>
  <c r="Q11" i="1"/>
  <c r="Z12" i="1"/>
  <c r="H12" i="1"/>
  <c r="AA12" i="1"/>
  <c r="AJ12" i="1" s="1"/>
  <c r="Y12" i="1"/>
  <c r="AH15" i="1"/>
  <c r="G12" i="1" l="1"/>
  <c r="I12" i="1" s="1"/>
  <c r="T11" i="1"/>
  <c r="U11" i="1"/>
  <c r="V11" i="1"/>
  <c r="K12" i="1" l="1"/>
  <c r="C13" i="1" s="1"/>
  <c r="N12" i="1" s="1"/>
  <c r="O12" i="1" s="1"/>
  <c r="J12" i="1"/>
  <c r="B13" i="1" s="1"/>
  <c r="M12" i="1" s="1"/>
  <c r="AG12" i="1" s="1"/>
  <c r="L12" i="1"/>
  <c r="D13" i="1" s="1"/>
  <c r="P12" i="1" s="1"/>
  <c r="X12" i="1" s="1"/>
  <c r="U12" i="1" l="1"/>
  <c r="Q12" i="1"/>
  <c r="V12" i="1" s="1"/>
  <c r="AB13" i="1"/>
  <c r="AH16" i="1"/>
  <c r="T12" i="1" l="1"/>
  <c r="E13" i="1"/>
  <c r="H13" i="1"/>
  <c r="AA13" i="1"/>
  <c r="AJ13" i="1" s="1"/>
  <c r="Z13" i="1"/>
  <c r="Y13" i="1"/>
  <c r="AI13" i="1"/>
  <c r="F13" i="1" l="1"/>
  <c r="G13" i="1"/>
  <c r="I13" i="1" l="1"/>
  <c r="AH17" i="1"/>
  <c r="L13" i="1" l="1"/>
  <c r="D14" i="1" s="1"/>
  <c r="P13" i="1" s="1"/>
  <c r="X13" i="1" s="1"/>
  <c r="K13" i="1"/>
  <c r="C14" i="1" s="1"/>
  <c r="N13" i="1" s="1"/>
  <c r="O13" i="1" s="1"/>
  <c r="J13" i="1"/>
  <c r="B14" i="1" s="1"/>
  <c r="M13" i="1" s="1"/>
  <c r="AG13" i="1" s="1"/>
  <c r="U13" i="1" l="1"/>
  <c r="Q13" i="1"/>
  <c r="V13" i="1" s="1"/>
  <c r="AB14" i="1"/>
  <c r="T13" i="1" l="1"/>
  <c r="H14" i="1"/>
  <c r="Z14" i="1"/>
  <c r="E14" i="1"/>
  <c r="Y14" i="1"/>
  <c r="AA14" i="1"/>
  <c r="AJ14" i="1" s="1"/>
  <c r="AI14" i="1"/>
  <c r="AH18" i="1"/>
  <c r="G14" i="1" l="1"/>
  <c r="F14" i="1"/>
  <c r="I14" i="1" l="1"/>
  <c r="L14" i="1" s="1"/>
  <c r="D15" i="1" s="1"/>
  <c r="P14" i="1" s="1"/>
  <c r="X14" i="1" s="1"/>
  <c r="J14" i="1" l="1"/>
  <c r="B15" i="1" s="1"/>
  <c r="M14" i="1" s="1"/>
  <c r="AG14" i="1" s="1"/>
  <c r="K14" i="1"/>
  <c r="C15" i="1" s="1"/>
  <c r="N14" i="1" s="1"/>
  <c r="O14" i="1" s="1"/>
  <c r="AB15" i="1"/>
  <c r="AH19" i="1"/>
  <c r="U14" i="1" l="1"/>
  <c r="Q14" i="1"/>
  <c r="E15" i="1"/>
  <c r="AA15" i="1"/>
  <c r="AJ15" i="1" s="1"/>
  <c r="Y15" i="1"/>
  <c r="Z15" i="1"/>
  <c r="H15" i="1"/>
  <c r="V14" i="1" l="1"/>
  <c r="T14" i="1"/>
  <c r="F15" i="1"/>
  <c r="G15" i="1"/>
  <c r="AI15" i="1"/>
  <c r="I15" i="1" l="1"/>
  <c r="L15" i="1" s="1"/>
  <c r="D16" i="1" s="1"/>
  <c r="P15" i="1" s="1"/>
  <c r="X15" i="1" s="1"/>
  <c r="AH20" i="1"/>
  <c r="AB16" i="1" l="1"/>
  <c r="AA16" i="1"/>
  <c r="AJ16" i="1" s="1"/>
  <c r="J15" i="1"/>
  <c r="B16" i="1" s="1"/>
  <c r="M15" i="1" s="1"/>
  <c r="AG15" i="1" s="1"/>
  <c r="K15" i="1"/>
  <c r="C16" i="1" s="1"/>
  <c r="N15" i="1" s="1"/>
  <c r="O15" i="1" s="1"/>
  <c r="U15" i="1" l="1"/>
  <c r="Q15" i="1"/>
  <c r="E16" i="1"/>
  <c r="G16" i="1" s="1"/>
  <c r="H16" i="1"/>
  <c r="Y16" i="1"/>
  <c r="Z16" i="1"/>
  <c r="V15" i="1" l="1"/>
  <c r="T15" i="1"/>
  <c r="F16" i="1"/>
  <c r="I16" i="1" s="1"/>
  <c r="AH21" i="1"/>
  <c r="L16" i="1" l="1"/>
  <c r="D17" i="1" s="1"/>
  <c r="P16" i="1" s="1"/>
  <c r="X16" i="1" s="1"/>
  <c r="J16" i="1"/>
  <c r="B17" i="1" s="1"/>
  <c r="M16" i="1" s="1"/>
  <c r="AG16" i="1" s="1"/>
  <c r="K16" i="1"/>
  <c r="C17" i="1" s="1"/>
  <c r="N16" i="1" s="1"/>
  <c r="O16" i="1" s="1"/>
  <c r="AI16" i="1"/>
  <c r="U16" i="1" l="1"/>
  <c r="Q16" i="1"/>
  <c r="V16" i="1" s="1"/>
  <c r="AB17" i="1"/>
  <c r="T16" i="1" l="1"/>
  <c r="Y17" i="1"/>
  <c r="H17" i="1"/>
  <c r="AA17" i="1"/>
  <c r="AJ17" i="1" s="1"/>
  <c r="Z17" i="1"/>
  <c r="E17" i="1"/>
  <c r="AH22" i="1"/>
  <c r="F17" i="1" l="1"/>
  <c r="G17" i="1"/>
  <c r="I17" i="1" l="1"/>
  <c r="L17" i="1" l="1"/>
  <c r="D18" i="1" s="1"/>
  <c r="P17" i="1" s="1"/>
  <c r="X17" i="1" s="1"/>
  <c r="J17" i="1"/>
  <c r="B18" i="1" s="1"/>
  <c r="M17" i="1" s="1"/>
  <c r="AG17" i="1" s="1"/>
  <c r="K17" i="1"/>
  <c r="C18" i="1" s="1"/>
  <c r="N17" i="1" s="1"/>
  <c r="O17" i="1" s="1"/>
  <c r="AI17" i="1"/>
  <c r="U17" i="1" l="1"/>
  <c r="Q17" i="1"/>
  <c r="T17" i="1" s="1"/>
  <c r="AB18" i="1"/>
  <c r="V17" i="1" l="1"/>
  <c r="Y18" i="1"/>
  <c r="E18" i="1"/>
  <c r="Z18" i="1"/>
  <c r="H18" i="1"/>
  <c r="AA18" i="1"/>
  <c r="AJ18" i="1" s="1"/>
  <c r="F18" i="1" l="1"/>
  <c r="G18" i="1"/>
  <c r="I18" i="1" l="1"/>
  <c r="L18" i="1" l="1"/>
  <c r="D19" i="1" s="1"/>
  <c r="P18" i="1" s="1"/>
  <c r="X18" i="1" s="1"/>
  <c r="J18" i="1"/>
  <c r="B19" i="1" s="1"/>
  <c r="M18" i="1" s="1"/>
  <c r="AG18" i="1" s="1"/>
  <c r="K18" i="1"/>
  <c r="C19" i="1" s="1"/>
  <c r="N18" i="1" s="1"/>
  <c r="O18" i="1" s="1"/>
  <c r="AI18" i="1"/>
  <c r="U18" i="1" l="1"/>
  <c r="Q18" i="1"/>
  <c r="V18" i="1" s="1"/>
  <c r="AB19" i="1"/>
  <c r="T18" i="1" l="1"/>
  <c r="Y19" i="1"/>
  <c r="E19" i="1"/>
  <c r="AA19" i="1"/>
  <c r="AJ19" i="1" s="1"/>
  <c r="Z19" i="1"/>
  <c r="H19" i="1"/>
  <c r="F19" i="1" l="1"/>
  <c r="G19" i="1"/>
  <c r="I19" i="1" l="1"/>
  <c r="L19" i="1" l="1"/>
  <c r="D20" i="1" s="1"/>
  <c r="P19" i="1" s="1"/>
  <c r="X19" i="1" s="1"/>
  <c r="J19" i="1"/>
  <c r="B20" i="1" s="1"/>
  <c r="M19" i="1" s="1"/>
  <c r="AG19" i="1" s="1"/>
  <c r="K19" i="1"/>
  <c r="C20" i="1" s="1"/>
  <c r="N19" i="1" s="1"/>
  <c r="O19" i="1" s="1"/>
  <c r="AI19" i="1"/>
  <c r="U19" i="1" l="1"/>
  <c r="Q19" i="1"/>
  <c r="V19" i="1" s="1"/>
  <c r="AB20" i="1"/>
  <c r="T19" i="1" l="1"/>
  <c r="Y20" i="1"/>
  <c r="E20" i="1"/>
  <c r="Z20" i="1"/>
  <c r="H20" i="1"/>
  <c r="AA20" i="1"/>
  <c r="AJ20" i="1" s="1"/>
  <c r="F20" i="1" l="1"/>
  <c r="G20" i="1"/>
  <c r="I20" i="1" l="1"/>
  <c r="L20" i="1" l="1"/>
  <c r="D21" i="1" s="1"/>
  <c r="P20" i="1" s="1"/>
  <c r="X20" i="1" s="1"/>
  <c r="J20" i="1"/>
  <c r="B21" i="1" s="1"/>
  <c r="M20" i="1" s="1"/>
  <c r="AG20" i="1" s="1"/>
  <c r="K20" i="1"/>
  <c r="C21" i="1" s="1"/>
  <c r="N20" i="1" s="1"/>
  <c r="O20" i="1" s="1"/>
  <c r="AI20" i="1"/>
  <c r="U20" i="1" l="1"/>
  <c r="Q20" i="1"/>
  <c r="V20" i="1" s="1"/>
  <c r="AB21" i="1"/>
  <c r="T20" i="1" l="1"/>
  <c r="Y21" i="1"/>
  <c r="H21" i="1"/>
  <c r="AA21" i="1"/>
  <c r="AJ21" i="1" s="1"/>
  <c r="Z21" i="1"/>
  <c r="E21" i="1"/>
  <c r="F21" i="1" l="1"/>
  <c r="G21" i="1"/>
  <c r="I21" i="1" l="1"/>
  <c r="L21" i="1" l="1"/>
  <c r="D22" i="1" s="1"/>
  <c r="P21" i="1" s="1"/>
  <c r="X21" i="1" s="1"/>
  <c r="J21" i="1"/>
  <c r="B22" i="1" s="1"/>
  <c r="M21" i="1" s="1"/>
  <c r="AG21" i="1" s="1"/>
  <c r="K21" i="1"/>
  <c r="C22" i="1" s="1"/>
  <c r="N21" i="1" s="1"/>
  <c r="O21" i="1" s="1"/>
  <c r="AI21" i="1"/>
  <c r="U21" i="1" l="1"/>
  <c r="Q21" i="1"/>
  <c r="V21" i="1" s="1"/>
  <c r="AB22" i="1"/>
  <c r="T21" i="1" l="1"/>
  <c r="Y22" i="1"/>
  <c r="E22" i="1"/>
  <c r="AA22" i="1"/>
  <c r="AJ22" i="1" s="1"/>
  <c r="Z22" i="1"/>
  <c r="H22" i="1"/>
  <c r="F22" i="1" l="1"/>
  <c r="G22" i="1"/>
  <c r="I22" i="1" l="1"/>
  <c r="L22" i="1" l="1"/>
  <c r="D23" i="1" s="1"/>
  <c r="P22" i="1" s="1"/>
  <c r="X22" i="1" s="1"/>
  <c r="K22" i="1"/>
  <c r="C23" i="1" s="1"/>
  <c r="N22" i="1" s="1"/>
  <c r="O22" i="1" s="1"/>
  <c r="J22" i="1"/>
  <c r="B23" i="1" s="1"/>
  <c r="M22" i="1" s="1"/>
  <c r="AG22" i="1" s="1"/>
  <c r="AI22" i="1"/>
  <c r="U22" i="1" l="1"/>
  <c r="Q22" i="1"/>
  <c r="V22" i="1" s="1"/>
  <c r="AB23" i="1"/>
  <c r="T22" i="1" l="1"/>
  <c r="Y23" i="1"/>
  <c r="Z23" i="1"/>
  <c r="AA23" i="1"/>
  <c r="AJ23" i="1" s="1"/>
  <c r="E23" i="1"/>
  <c r="H23" i="1"/>
  <c r="F23" i="1" l="1"/>
  <c r="G23" i="1"/>
  <c r="I23" i="1" l="1"/>
  <c r="AH23" i="1"/>
  <c r="L23" i="1" l="1"/>
  <c r="D24" i="1" s="1"/>
  <c r="P23" i="1" s="1"/>
  <c r="X23" i="1" s="1"/>
  <c r="J23" i="1"/>
  <c r="B24" i="1" s="1"/>
  <c r="M23" i="1" s="1"/>
  <c r="AG23" i="1" s="1"/>
  <c r="K23" i="1"/>
  <c r="C24" i="1" s="1"/>
  <c r="N23" i="1" s="1"/>
  <c r="O23" i="1" s="1"/>
  <c r="AI23" i="1"/>
  <c r="U23" i="1" l="1"/>
  <c r="Q23" i="1"/>
  <c r="V23" i="1" s="1"/>
  <c r="AB24" i="1"/>
  <c r="AC52" i="1"/>
  <c r="AD52" i="1"/>
  <c r="AE52" i="1"/>
  <c r="T23" i="1" l="1"/>
  <c r="Y24" i="1"/>
  <c r="E24" i="1"/>
  <c r="H24" i="1"/>
  <c r="Z24" i="1"/>
  <c r="AA24" i="1"/>
  <c r="AJ24" i="1" s="1"/>
  <c r="F24" i="1" l="1"/>
  <c r="G24" i="1"/>
  <c r="I24" i="1" l="1"/>
  <c r="AH24" i="1"/>
  <c r="L24" i="1" l="1"/>
  <c r="D25" i="1" s="1"/>
  <c r="P24" i="1" s="1"/>
  <c r="X24" i="1" s="1"/>
  <c r="J24" i="1"/>
  <c r="B25" i="1" s="1"/>
  <c r="M24" i="1" s="1"/>
  <c r="AG24" i="1" s="1"/>
  <c r="K24" i="1"/>
  <c r="C25" i="1" s="1"/>
  <c r="N24" i="1" s="1"/>
  <c r="O24" i="1" s="1"/>
  <c r="AI24" i="1"/>
  <c r="U24" i="1" l="1"/>
  <c r="Q24" i="1"/>
  <c r="V24" i="1" s="1"/>
  <c r="AB25" i="1"/>
  <c r="T24" i="1" l="1"/>
  <c r="Y25" i="1"/>
  <c r="E25" i="1"/>
  <c r="H25" i="1"/>
  <c r="AA25" i="1"/>
  <c r="AJ25" i="1" s="1"/>
  <c r="Z25" i="1"/>
  <c r="F25" i="1" l="1"/>
  <c r="G25" i="1"/>
  <c r="I25" i="1" l="1"/>
  <c r="AH25" i="1"/>
  <c r="L25" i="1" l="1"/>
  <c r="D26" i="1" s="1"/>
  <c r="P25" i="1" s="1"/>
  <c r="X25" i="1" s="1"/>
  <c r="K25" i="1"/>
  <c r="C26" i="1" s="1"/>
  <c r="N25" i="1" s="1"/>
  <c r="O25" i="1" s="1"/>
  <c r="J25" i="1"/>
  <c r="B26" i="1" s="1"/>
  <c r="M25" i="1" s="1"/>
  <c r="AG25" i="1" s="1"/>
  <c r="U25" i="1" l="1"/>
  <c r="Q25" i="1"/>
  <c r="V25" i="1" s="1"/>
  <c r="AB26" i="1"/>
  <c r="T25" i="1" l="1"/>
  <c r="AI25" i="1"/>
  <c r="E26" i="1"/>
  <c r="H26" i="1"/>
  <c r="Y26" i="1"/>
  <c r="AA26" i="1"/>
  <c r="AJ26" i="1" s="1"/>
  <c r="Z26" i="1"/>
  <c r="F26" i="1" l="1"/>
  <c r="G26" i="1"/>
  <c r="I26" i="1" l="1"/>
  <c r="AH26" i="1"/>
  <c r="L26" i="1" l="1"/>
  <c r="D27" i="1" s="1"/>
  <c r="P26" i="1" s="1"/>
  <c r="X26" i="1" s="1"/>
  <c r="J26" i="1"/>
  <c r="B27" i="1" s="1"/>
  <c r="M26" i="1" s="1"/>
  <c r="AG26" i="1" s="1"/>
  <c r="K26" i="1"/>
  <c r="C27" i="1" s="1"/>
  <c r="N26" i="1" s="1"/>
  <c r="O26" i="1" s="1"/>
  <c r="AI26" i="1"/>
  <c r="U26" i="1" l="1"/>
  <c r="Q26" i="1"/>
  <c r="T26" i="1" s="1"/>
  <c r="AB27" i="1"/>
  <c r="AI66" i="1"/>
  <c r="V26" i="1" l="1"/>
  <c r="Y27" i="1"/>
  <c r="E27" i="1"/>
  <c r="H27" i="1"/>
  <c r="Z27" i="1"/>
  <c r="AA27" i="1"/>
  <c r="AJ27" i="1" s="1"/>
  <c r="F27" i="1" l="1"/>
  <c r="G27" i="1"/>
  <c r="I27" i="1" l="1"/>
  <c r="AH27" i="1"/>
  <c r="L27" i="1" l="1"/>
  <c r="D28" i="1" s="1"/>
  <c r="P27" i="1" s="1"/>
  <c r="X27" i="1" s="1"/>
  <c r="J27" i="1"/>
  <c r="B28" i="1" s="1"/>
  <c r="M27" i="1" s="1"/>
  <c r="AG27" i="1" s="1"/>
  <c r="K27" i="1"/>
  <c r="C28" i="1" s="1"/>
  <c r="N27" i="1" s="1"/>
  <c r="O27" i="1" s="1"/>
  <c r="AI27" i="1"/>
  <c r="U27" i="1" l="1"/>
  <c r="Q27" i="1"/>
  <c r="T27" i="1" s="1"/>
  <c r="AB28" i="1"/>
  <c r="V27" i="1" l="1"/>
  <c r="Y28" i="1"/>
  <c r="AA28" i="1"/>
  <c r="AJ28" i="1" s="1"/>
  <c r="H28" i="1"/>
  <c r="Z28" i="1"/>
  <c r="E28" i="1"/>
  <c r="F28" i="1" l="1"/>
  <c r="G28" i="1"/>
  <c r="I28" i="1" l="1"/>
  <c r="AH28" i="1"/>
  <c r="L28" i="1" l="1"/>
  <c r="D29" i="1" s="1"/>
  <c r="P28" i="1" s="1"/>
  <c r="X28" i="1" s="1"/>
  <c r="J28" i="1"/>
  <c r="B29" i="1" s="1"/>
  <c r="M28" i="1" s="1"/>
  <c r="AG28" i="1" s="1"/>
  <c r="K28" i="1"/>
  <c r="C29" i="1" s="1"/>
  <c r="N28" i="1" s="1"/>
  <c r="O28" i="1" s="1"/>
  <c r="AI28" i="1"/>
  <c r="U28" i="1" l="1"/>
  <c r="Q28" i="1"/>
  <c r="T28" i="1" s="1"/>
  <c r="AB29" i="1"/>
  <c r="V28" i="1" l="1"/>
  <c r="Y29" i="1"/>
  <c r="E29" i="1"/>
  <c r="H29" i="1"/>
  <c r="AA29" i="1"/>
  <c r="AJ29" i="1" s="1"/>
  <c r="Z29" i="1"/>
  <c r="F29" i="1" l="1"/>
  <c r="G29" i="1"/>
  <c r="I29" i="1" l="1"/>
  <c r="AH29" i="1"/>
  <c r="J29" i="1" l="1"/>
  <c r="B30" i="1" s="1"/>
  <c r="M29" i="1" s="1"/>
  <c r="AG29" i="1" s="1"/>
  <c r="K29" i="1"/>
  <c r="C30" i="1" s="1"/>
  <c r="N29" i="1" s="1"/>
  <c r="O29" i="1" s="1"/>
  <c r="L29" i="1"/>
  <c r="D30" i="1" s="1"/>
  <c r="AI29" i="1"/>
  <c r="P29" i="1" l="1"/>
  <c r="X29" i="1" s="1"/>
  <c r="AB30" i="1"/>
  <c r="U29" i="1" l="1"/>
  <c r="Q29" i="1"/>
  <c r="V29" i="1" s="1"/>
  <c r="Y30" i="1"/>
  <c r="E30" i="1"/>
  <c r="AA30" i="1"/>
  <c r="AJ30" i="1" s="1"/>
  <c r="H30" i="1"/>
  <c r="Z30" i="1"/>
  <c r="T29" i="1" l="1"/>
  <c r="F30" i="1"/>
  <c r="G30" i="1"/>
  <c r="I30" i="1" l="1"/>
  <c r="AH30" i="1"/>
  <c r="L30" i="1" l="1"/>
  <c r="D31" i="1" s="1"/>
  <c r="P30" i="1" s="1"/>
  <c r="X30" i="1" s="1"/>
  <c r="J30" i="1"/>
  <c r="B31" i="1" s="1"/>
  <c r="M30" i="1" s="1"/>
  <c r="AC30" i="1" s="1"/>
  <c r="K30" i="1"/>
  <c r="C31" i="1" s="1"/>
  <c r="N30" i="1" s="1"/>
  <c r="AG30" i="1"/>
  <c r="AI30" i="1"/>
  <c r="O30" i="1" l="1"/>
  <c r="AD30" i="1"/>
  <c r="U30" i="1"/>
  <c r="Q30" i="1"/>
  <c r="T30" i="1" s="1"/>
  <c r="AB31" i="1"/>
  <c r="V30" i="1" l="1"/>
  <c r="AE30" i="1"/>
  <c r="AA31" i="1"/>
  <c r="AJ31" i="1" s="1"/>
  <c r="Y31" i="1"/>
  <c r="Z31" i="1"/>
  <c r="H31" i="1"/>
  <c r="E31" i="1"/>
  <c r="F31" i="1" l="1"/>
  <c r="G31" i="1"/>
  <c r="I31" i="1" l="1"/>
  <c r="AH31" i="1"/>
  <c r="L31" i="1" l="1"/>
  <c r="D32" i="1" s="1"/>
  <c r="P31" i="1" s="1"/>
  <c r="X31" i="1" s="1"/>
  <c r="J31" i="1"/>
  <c r="B32" i="1" s="1"/>
  <c r="M31" i="1" s="1"/>
  <c r="AG31" i="1" s="1"/>
  <c r="K31" i="1"/>
  <c r="C32" i="1" s="1"/>
  <c r="N31" i="1" s="1"/>
  <c r="O31" i="1" s="1"/>
  <c r="AI31" i="1"/>
  <c r="U31" i="1" l="1"/>
  <c r="Q31" i="1"/>
  <c r="T31" i="1" s="1"/>
  <c r="AB32" i="1"/>
  <c r="Y32" i="1" l="1"/>
  <c r="E32" i="1"/>
  <c r="AA32" i="1"/>
  <c r="AJ32" i="1" s="1"/>
  <c r="Z32" i="1"/>
  <c r="H32" i="1"/>
  <c r="F32" i="1" l="1"/>
  <c r="G32" i="1"/>
  <c r="I32" i="1" l="1"/>
  <c r="AH32" i="1"/>
  <c r="L32" i="1" l="1"/>
  <c r="D33" i="1" s="1"/>
  <c r="P32" i="1" s="1"/>
  <c r="X32" i="1" s="1"/>
  <c r="J32" i="1"/>
  <c r="B33" i="1" s="1"/>
  <c r="M32" i="1" s="1"/>
  <c r="AG32" i="1" s="1"/>
  <c r="K32" i="1"/>
  <c r="C33" i="1" s="1"/>
  <c r="N32" i="1" s="1"/>
  <c r="O32" i="1" s="1"/>
  <c r="AI32" i="1"/>
  <c r="U32" i="1" l="1"/>
  <c r="Q32" i="1"/>
  <c r="AB33" i="1"/>
  <c r="T32" i="1" l="1"/>
  <c r="Y33" i="1"/>
  <c r="E33" i="1"/>
  <c r="H33" i="1"/>
  <c r="AA33" i="1"/>
  <c r="AJ33" i="1" s="1"/>
  <c r="Z33" i="1"/>
  <c r="F33" i="1" l="1"/>
  <c r="G33" i="1"/>
  <c r="I33" i="1" l="1"/>
  <c r="AH33" i="1"/>
  <c r="L33" i="1" l="1"/>
  <c r="D34" i="1" s="1"/>
  <c r="P33" i="1" s="1"/>
  <c r="X33" i="1" s="1"/>
  <c r="J33" i="1"/>
  <c r="B34" i="1" s="1"/>
  <c r="M33" i="1" s="1"/>
  <c r="AG33" i="1" s="1"/>
  <c r="K33" i="1"/>
  <c r="C34" i="1" s="1"/>
  <c r="N33" i="1" s="1"/>
  <c r="O33" i="1" s="1"/>
  <c r="AI33" i="1"/>
  <c r="U33" i="1" l="1"/>
  <c r="Q33" i="1"/>
  <c r="T33" i="1" s="1"/>
  <c r="AB34" i="1"/>
  <c r="Y34" i="1" l="1"/>
  <c r="E34" i="1"/>
  <c r="AA34" i="1"/>
  <c r="AJ34" i="1" s="1"/>
  <c r="Z34" i="1"/>
  <c r="H34" i="1"/>
  <c r="F34" i="1" l="1"/>
  <c r="G34" i="1"/>
  <c r="I34" i="1" l="1"/>
  <c r="L34" i="1" s="1"/>
  <c r="D35" i="1" s="1"/>
  <c r="P34" i="1" s="1"/>
  <c r="X34" i="1" s="1"/>
  <c r="AH34" i="1"/>
  <c r="AB35" i="1" l="1"/>
  <c r="H35" i="1"/>
  <c r="J34" i="1"/>
  <c r="B35" i="1" s="1"/>
  <c r="M34" i="1" s="1"/>
  <c r="AG34" i="1" s="1"/>
  <c r="K34" i="1"/>
  <c r="C35" i="1" s="1"/>
  <c r="N34" i="1" s="1"/>
  <c r="O34" i="1" s="1"/>
  <c r="AI34" i="1"/>
  <c r="U34" i="1" l="1"/>
  <c r="Q34" i="1"/>
  <c r="Y35" i="1"/>
  <c r="E35" i="1"/>
  <c r="F35" i="1" s="1"/>
  <c r="Z35" i="1"/>
  <c r="AA35" i="1"/>
  <c r="AJ35" i="1" s="1"/>
  <c r="T34" i="1" l="1"/>
  <c r="G35" i="1"/>
  <c r="I35" i="1" s="1"/>
  <c r="L35" i="1" l="1"/>
  <c r="D36" i="1" s="1"/>
  <c r="P35" i="1" s="1"/>
  <c r="X35" i="1" s="1"/>
  <c r="J35" i="1"/>
  <c r="B36" i="1" s="1"/>
  <c r="K35" i="1"/>
  <c r="C36" i="1" s="1"/>
  <c r="N35" i="1" s="1"/>
  <c r="U35" i="1" l="1"/>
  <c r="O35" i="1"/>
  <c r="AH35" i="1"/>
  <c r="M35" i="1"/>
  <c r="AG35" i="1" s="1"/>
  <c r="AB36" i="1"/>
  <c r="Q35" i="1" l="1"/>
  <c r="AI35" i="1"/>
  <c r="E36" i="1"/>
  <c r="H36" i="1"/>
  <c r="AA36" i="1"/>
  <c r="AJ36" i="1" s="1"/>
  <c r="Z36" i="1"/>
  <c r="Y36" i="1"/>
  <c r="T35" i="1" l="1"/>
  <c r="F36" i="1"/>
  <c r="G36" i="1"/>
  <c r="I36" i="1" l="1"/>
  <c r="L36" i="1" l="1"/>
  <c r="D37" i="1" s="1"/>
  <c r="P36" i="1" s="1"/>
  <c r="X36" i="1" s="1"/>
  <c r="J36" i="1"/>
  <c r="B37" i="1" s="1"/>
  <c r="K36" i="1"/>
  <c r="C37" i="1" s="1"/>
  <c r="N36" i="1" s="1"/>
  <c r="U36" i="1" l="1"/>
  <c r="O36" i="1"/>
  <c r="AH36" i="1"/>
  <c r="M36" i="1"/>
  <c r="AG36" i="1" s="1"/>
  <c r="AB37" i="1"/>
  <c r="Q36" i="1" l="1"/>
  <c r="AI36" i="1"/>
  <c r="E37" i="1"/>
  <c r="H37" i="1"/>
  <c r="AA37" i="1"/>
  <c r="AJ37" i="1" s="1"/>
  <c r="Z37" i="1"/>
  <c r="Y37" i="1"/>
  <c r="T36" i="1" l="1"/>
  <c r="F37" i="1"/>
  <c r="G37" i="1"/>
  <c r="I37" i="1" l="1"/>
  <c r="L37" i="1" l="1"/>
  <c r="D38" i="1" s="1"/>
  <c r="P37" i="1" s="1"/>
  <c r="X37" i="1" s="1"/>
  <c r="J37" i="1"/>
  <c r="B38" i="1" s="1"/>
  <c r="K37" i="1"/>
  <c r="C38" i="1" s="1"/>
  <c r="N37" i="1" s="1"/>
  <c r="U37" i="1" l="1"/>
  <c r="O37" i="1"/>
  <c r="AD37" i="1"/>
  <c r="AH37" i="1"/>
  <c r="M37" i="1"/>
  <c r="Q37" i="1" s="1"/>
  <c r="AB38" i="1"/>
  <c r="T37" i="1" l="1"/>
  <c r="AE37" i="1"/>
  <c r="AI37" i="1"/>
  <c r="AC37" i="1"/>
  <c r="AG37" i="1"/>
  <c r="E38" i="1"/>
  <c r="H38" i="1"/>
  <c r="AA38" i="1"/>
  <c r="AJ38" i="1" s="1"/>
  <c r="Z38" i="1"/>
  <c r="Y38" i="1"/>
  <c r="F38" i="1" l="1"/>
  <c r="G38" i="1"/>
  <c r="I38" i="1" l="1"/>
  <c r="L38" i="1" l="1"/>
  <c r="D39" i="1" s="1"/>
  <c r="P38" i="1" s="1"/>
  <c r="X38" i="1" s="1"/>
  <c r="J38" i="1"/>
  <c r="B39" i="1" s="1"/>
  <c r="K38" i="1"/>
  <c r="C39" i="1" s="1"/>
  <c r="N38" i="1" s="1"/>
  <c r="AD38" i="1" s="1"/>
  <c r="U38" i="1" l="1"/>
  <c r="O38" i="1"/>
  <c r="AH38" i="1"/>
  <c r="M38" i="1"/>
  <c r="Q38" i="1" s="1"/>
  <c r="AE38" i="1"/>
  <c r="AB39" i="1"/>
  <c r="T38" i="1" l="1"/>
  <c r="AG38" i="1"/>
  <c r="AC38" i="1"/>
  <c r="AI38" i="1"/>
  <c r="E39" i="1"/>
  <c r="H39" i="1"/>
  <c r="AA39" i="1"/>
  <c r="AJ39" i="1" s="1"/>
  <c r="Z39" i="1"/>
  <c r="Y39" i="1"/>
  <c r="F39" i="1" l="1"/>
  <c r="G39" i="1"/>
  <c r="I39" i="1" l="1"/>
  <c r="L39" i="1" l="1"/>
  <c r="D40" i="1" s="1"/>
  <c r="P39" i="1" s="1"/>
  <c r="X39" i="1" s="1"/>
  <c r="J39" i="1"/>
  <c r="B40" i="1" s="1"/>
  <c r="K39" i="1"/>
  <c r="C40" i="1" s="1"/>
  <c r="N39" i="1" s="1"/>
  <c r="U39" i="1" l="1"/>
  <c r="O39" i="1"/>
  <c r="AH39" i="1"/>
  <c r="M39" i="1"/>
  <c r="AG39" i="1" s="1"/>
  <c r="AB40" i="1"/>
  <c r="Q39" i="1" l="1"/>
  <c r="AI39" i="1"/>
  <c r="E40" i="1"/>
  <c r="H40" i="1"/>
  <c r="AA40" i="1"/>
  <c r="AJ40" i="1" s="1"/>
  <c r="Z40" i="1"/>
  <c r="Y40" i="1"/>
  <c r="T39" i="1" l="1"/>
  <c r="F40" i="1"/>
  <c r="G40" i="1"/>
  <c r="I40" i="1" l="1"/>
  <c r="L40" i="1" l="1"/>
  <c r="D41" i="1" s="1"/>
  <c r="P40" i="1" s="1"/>
  <c r="X40" i="1" s="1"/>
  <c r="J40" i="1"/>
  <c r="B41" i="1" s="1"/>
  <c r="K40" i="1"/>
  <c r="C41" i="1" s="1"/>
  <c r="N40" i="1" s="1"/>
  <c r="AH40" i="1" s="1"/>
  <c r="U40" i="1" l="1"/>
  <c r="AD40" i="1"/>
  <c r="O40" i="1"/>
  <c r="M40" i="1"/>
  <c r="Q40" i="1" s="1"/>
  <c r="AB41" i="1"/>
  <c r="T40" i="1" l="1"/>
  <c r="AI40" i="1"/>
  <c r="AE40" i="1"/>
  <c r="AG40" i="1"/>
  <c r="AC40" i="1"/>
  <c r="E41" i="1"/>
  <c r="H41" i="1"/>
  <c r="AA41" i="1"/>
  <c r="AJ41" i="1" s="1"/>
  <c r="Z41" i="1"/>
  <c r="Y41" i="1"/>
  <c r="F41" i="1" l="1"/>
  <c r="G41" i="1"/>
  <c r="I41" i="1" l="1"/>
  <c r="L41" i="1" l="1"/>
  <c r="D42" i="1" s="1"/>
  <c r="P41" i="1" s="1"/>
  <c r="X41" i="1" s="1"/>
  <c r="J41" i="1"/>
  <c r="B42" i="1" s="1"/>
  <c r="K41" i="1"/>
  <c r="C42" i="1" s="1"/>
  <c r="N41" i="1" s="1"/>
  <c r="U41" i="1" l="1"/>
  <c r="O41" i="1"/>
  <c r="AH41" i="1"/>
  <c r="M41" i="1"/>
  <c r="AG41" i="1" s="1"/>
  <c r="AB42" i="1"/>
  <c r="Q41" i="1" l="1"/>
  <c r="AI41" i="1"/>
  <c r="E42" i="1"/>
  <c r="H42" i="1"/>
  <c r="AA42" i="1"/>
  <c r="AJ42" i="1" s="1"/>
  <c r="Z42" i="1"/>
  <c r="Y42" i="1"/>
  <c r="T41" i="1" l="1"/>
  <c r="F42" i="1"/>
  <c r="G42" i="1"/>
  <c r="I42" i="1" l="1"/>
  <c r="L42" i="1" l="1"/>
  <c r="D43" i="1" s="1"/>
  <c r="P42" i="1" s="1"/>
  <c r="X42" i="1" s="1"/>
  <c r="J42" i="1"/>
  <c r="B43" i="1" s="1"/>
  <c r="K42" i="1"/>
  <c r="C43" i="1" s="1"/>
  <c r="N42" i="1" s="1"/>
  <c r="AH42" i="1" s="1"/>
  <c r="U42" i="1" l="1"/>
  <c r="AD42" i="1"/>
  <c r="O42" i="1"/>
  <c r="M42" i="1"/>
  <c r="Q42" i="1" s="1"/>
  <c r="AB43" i="1"/>
  <c r="T42" i="1" l="1"/>
  <c r="AI42" i="1"/>
  <c r="AE42" i="1"/>
  <c r="AG42" i="1"/>
  <c r="AC42" i="1"/>
  <c r="E43" i="1"/>
  <c r="H43" i="1"/>
  <c r="AA43" i="1"/>
  <c r="AJ43" i="1" s="1"/>
  <c r="Z43" i="1"/>
  <c r="Y43" i="1"/>
  <c r="F43" i="1" l="1"/>
  <c r="G43" i="1"/>
  <c r="I43" i="1" l="1"/>
  <c r="L43" i="1" l="1"/>
  <c r="D44" i="1" s="1"/>
  <c r="P43" i="1" s="1"/>
  <c r="J43" i="1"/>
  <c r="B44" i="1" s="1"/>
  <c r="K43" i="1"/>
  <c r="C44" i="1" s="1"/>
  <c r="N43" i="1" s="1"/>
  <c r="AD43" i="1" s="1"/>
  <c r="X43" i="1" l="1"/>
  <c r="U43" i="1" s="1"/>
  <c r="AE43" i="1"/>
  <c r="O43" i="1"/>
  <c r="AH43" i="1"/>
  <c r="M43" i="1"/>
  <c r="AB44" i="1"/>
  <c r="AG43" i="1" l="1"/>
  <c r="AC43" i="1"/>
  <c r="Q43" i="1"/>
  <c r="AI43" i="1"/>
  <c r="E44" i="1"/>
  <c r="H44" i="1"/>
  <c r="AA44" i="1"/>
  <c r="AJ44" i="1" s="1"/>
  <c r="Z44" i="1"/>
  <c r="Y44" i="1"/>
  <c r="T43" i="1" l="1"/>
  <c r="F44" i="1"/>
  <c r="G44" i="1"/>
  <c r="I44" i="1" l="1"/>
  <c r="L44" i="1" l="1"/>
  <c r="D45" i="1" s="1"/>
  <c r="P44" i="1" s="1"/>
  <c r="X44" i="1" s="1"/>
  <c r="J44" i="1"/>
  <c r="B45" i="1" s="1"/>
  <c r="K44" i="1"/>
  <c r="C45" i="1" s="1"/>
  <c r="N44" i="1" s="1"/>
  <c r="U44" i="1" l="1"/>
  <c r="O44" i="1"/>
  <c r="AH44" i="1"/>
  <c r="M44" i="1"/>
  <c r="AG44" i="1" s="1"/>
  <c r="AB45" i="1"/>
  <c r="Q44" i="1" l="1"/>
  <c r="AI44" i="1"/>
  <c r="E45" i="1"/>
  <c r="H45" i="1"/>
  <c r="AA45" i="1"/>
  <c r="AJ45" i="1" s="1"/>
  <c r="Z45" i="1"/>
  <c r="Y45" i="1"/>
  <c r="T44" i="1" l="1"/>
  <c r="F45" i="1"/>
  <c r="G45" i="1"/>
  <c r="I45" i="1" l="1"/>
  <c r="L45" i="1" l="1"/>
  <c r="D46" i="1" s="1"/>
  <c r="P45" i="1" s="1"/>
  <c r="X45" i="1" s="1"/>
  <c r="J45" i="1"/>
  <c r="B46" i="1" s="1"/>
  <c r="K45" i="1"/>
  <c r="C46" i="1" s="1"/>
  <c r="N45" i="1" s="1"/>
  <c r="AD45" i="1" s="1"/>
  <c r="U45" i="1" l="1"/>
  <c r="O45" i="1"/>
  <c r="AH45" i="1"/>
  <c r="M45" i="1"/>
  <c r="Q45" i="1" s="1"/>
  <c r="AE45" i="1"/>
  <c r="AB46" i="1"/>
  <c r="T45" i="1" l="1"/>
  <c r="AG45" i="1"/>
  <c r="AC45" i="1"/>
  <c r="AI45" i="1"/>
  <c r="E46" i="1"/>
  <c r="H46" i="1"/>
  <c r="AA46" i="1"/>
  <c r="AJ46" i="1" s="1"/>
  <c r="Z46" i="1"/>
  <c r="Y46" i="1"/>
  <c r="F46" i="1" l="1"/>
  <c r="G46" i="1"/>
  <c r="I46" i="1" l="1"/>
  <c r="L46" i="1" l="1"/>
  <c r="D47" i="1" s="1"/>
  <c r="P46" i="1" s="1"/>
  <c r="X46" i="1" s="1"/>
  <c r="J46" i="1"/>
  <c r="B47" i="1" s="1"/>
  <c r="K46" i="1"/>
  <c r="C47" i="1" s="1"/>
  <c r="N46" i="1" s="1"/>
  <c r="U46" i="1" l="1"/>
  <c r="O46" i="1"/>
  <c r="AH46" i="1"/>
  <c r="M46" i="1"/>
  <c r="AG46" i="1" s="1"/>
  <c r="AB47" i="1"/>
  <c r="Q46" i="1" l="1"/>
  <c r="AI46" i="1"/>
  <c r="E47" i="1"/>
  <c r="H47" i="1"/>
  <c r="AA47" i="1"/>
  <c r="AJ47" i="1" s="1"/>
  <c r="Z47" i="1"/>
  <c r="Y47" i="1"/>
  <c r="T46" i="1" l="1"/>
  <c r="F47" i="1"/>
  <c r="G47" i="1"/>
  <c r="I47" i="1" l="1"/>
  <c r="L47" i="1" l="1"/>
  <c r="D48" i="1" s="1"/>
  <c r="P47" i="1" s="1"/>
  <c r="X47" i="1" s="1"/>
  <c r="J47" i="1"/>
  <c r="B48" i="1" s="1"/>
  <c r="K47" i="1"/>
  <c r="C48" i="1" s="1"/>
  <c r="N47" i="1" s="1"/>
  <c r="AH47" i="1" s="1"/>
  <c r="U47" i="1" l="1"/>
  <c r="AD47" i="1"/>
  <c r="O47" i="1"/>
  <c r="M47" i="1"/>
  <c r="Q47" i="1" s="1"/>
  <c r="AB48" i="1"/>
  <c r="T47" i="1" l="1"/>
  <c r="AI47" i="1"/>
  <c r="AE47" i="1"/>
  <c r="AG47" i="1"/>
  <c r="AC47" i="1"/>
  <c r="E48" i="1"/>
  <c r="H48" i="1"/>
  <c r="AA48" i="1"/>
  <c r="AJ48" i="1" s="1"/>
  <c r="Z48" i="1"/>
  <c r="Y48" i="1"/>
  <c r="F48" i="1" l="1"/>
  <c r="G48" i="1"/>
  <c r="I48" i="1" l="1"/>
  <c r="L48" i="1" l="1"/>
  <c r="D49" i="1" s="1"/>
  <c r="P48" i="1" s="1"/>
  <c r="X48" i="1" s="1"/>
  <c r="J48" i="1"/>
  <c r="B49" i="1" s="1"/>
  <c r="K48" i="1"/>
  <c r="C49" i="1" s="1"/>
  <c r="N48" i="1" s="1"/>
  <c r="U48" i="1" l="1"/>
  <c r="O48" i="1"/>
  <c r="AH48" i="1"/>
  <c r="M48" i="1"/>
  <c r="AG48" i="1" s="1"/>
  <c r="AB49" i="1"/>
  <c r="Q48" i="1" l="1"/>
  <c r="AI48" i="1"/>
  <c r="E49" i="1"/>
  <c r="H49" i="1"/>
  <c r="AA49" i="1"/>
  <c r="AJ49" i="1" s="1"/>
  <c r="Z49" i="1"/>
  <c r="Y49" i="1"/>
  <c r="T48" i="1" l="1"/>
  <c r="F49" i="1"/>
  <c r="G49" i="1"/>
  <c r="I49" i="1" l="1"/>
  <c r="L49" i="1" l="1"/>
  <c r="D50" i="1" s="1"/>
  <c r="P49" i="1" s="1"/>
  <c r="X49" i="1" s="1"/>
  <c r="J49" i="1"/>
  <c r="B50" i="1" s="1"/>
  <c r="K49" i="1"/>
  <c r="C50" i="1" s="1"/>
  <c r="N49" i="1" s="1"/>
  <c r="U49" i="1" l="1"/>
  <c r="O49" i="1"/>
  <c r="AH49" i="1"/>
  <c r="M49" i="1"/>
  <c r="AG49" i="1" s="1"/>
  <c r="AB50" i="1"/>
  <c r="Q49" i="1" l="1"/>
  <c r="AI49" i="1"/>
  <c r="E50" i="1"/>
  <c r="H50" i="1"/>
  <c r="AA50" i="1"/>
  <c r="AJ50" i="1" s="1"/>
  <c r="Z50" i="1"/>
  <c r="Y50" i="1"/>
  <c r="T49" i="1" l="1"/>
  <c r="F50" i="1"/>
  <c r="G50" i="1"/>
  <c r="I50" i="1" l="1"/>
  <c r="L50" i="1" l="1"/>
  <c r="D51" i="1" s="1"/>
  <c r="P50" i="1" s="1"/>
  <c r="X50" i="1" s="1"/>
  <c r="J50" i="1"/>
  <c r="B51" i="1" s="1"/>
  <c r="K50" i="1"/>
  <c r="C51" i="1" s="1"/>
  <c r="N50" i="1" s="1"/>
  <c r="U50" i="1" l="1"/>
  <c r="O50" i="1"/>
  <c r="AH50" i="1"/>
  <c r="M50" i="1"/>
  <c r="AG50" i="1" s="1"/>
  <c r="AB51" i="1"/>
  <c r="Q50" i="1" l="1"/>
  <c r="AI50" i="1"/>
  <c r="E51" i="1"/>
  <c r="H51" i="1"/>
  <c r="AA51" i="1"/>
  <c r="AJ51" i="1" s="1"/>
  <c r="Z51" i="1"/>
  <c r="Y51" i="1"/>
  <c r="T50" i="1" l="1"/>
  <c r="F51" i="1"/>
  <c r="G51" i="1"/>
  <c r="I51" i="1" l="1"/>
  <c r="L51" i="1" l="1"/>
  <c r="D52" i="1" s="1"/>
  <c r="P51" i="1" s="1"/>
  <c r="J51" i="1"/>
  <c r="B52" i="1" s="1"/>
  <c r="K51" i="1"/>
  <c r="C52" i="1" s="1"/>
  <c r="N51" i="1" s="1"/>
  <c r="AD51" i="1" s="1"/>
  <c r="X51" i="1" l="1"/>
  <c r="U51" i="1" s="1"/>
  <c r="AE51" i="1"/>
  <c r="AH51" i="1"/>
  <c r="O51" i="1"/>
  <c r="M51" i="1"/>
  <c r="AB52" i="1"/>
  <c r="AG51" i="1" l="1"/>
  <c r="AC51" i="1"/>
  <c r="Q51" i="1"/>
  <c r="AI51" i="1"/>
  <c r="E52" i="1"/>
  <c r="H52" i="1"/>
  <c r="AA52" i="1"/>
  <c r="AJ52" i="1" s="1"/>
  <c r="Z52" i="1"/>
  <c r="Y52" i="1"/>
  <c r="T51" i="1" l="1"/>
  <c r="F52" i="1"/>
  <c r="G52" i="1"/>
  <c r="I52" i="1" l="1"/>
  <c r="L52" i="1" l="1"/>
  <c r="D53" i="1" s="1"/>
  <c r="P52" i="1" s="1"/>
  <c r="X52" i="1" s="1"/>
  <c r="J52" i="1"/>
  <c r="B53" i="1" s="1"/>
  <c r="K52" i="1"/>
  <c r="C53" i="1" s="1"/>
  <c r="N52" i="1" s="1"/>
  <c r="U52" i="1" l="1"/>
  <c r="O52" i="1"/>
  <c r="AH52" i="1"/>
  <c r="M52" i="1"/>
  <c r="AG52" i="1" s="1"/>
  <c r="AI52" i="1"/>
  <c r="AB53" i="1"/>
  <c r="Q52" i="1" l="1"/>
  <c r="E53" i="1"/>
  <c r="H53" i="1"/>
  <c r="AA53" i="1"/>
  <c r="AJ53" i="1" s="1"/>
  <c r="Z53" i="1"/>
  <c r="Y53" i="1"/>
  <c r="T52" i="1" l="1"/>
  <c r="F53" i="1"/>
  <c r="G53" i="1"/>
  <c r="I53" i="1" l="1"/>
  <c r="L53" i="1" l="1"/>
  <c r="D54" i="1" s="1"/>
  <c r="P53" i="1" s="1"/>
  <c r="X53" i="1" s="1"/>
  <c r="J53" i="1"/>
  <c r="B54" i="1" s="1"/>
  <c r="K53" i="1"/>
  <c r="C54" i="1" s="1"/>
  <c r="N53" i="1" s="1"/>
  <c r="U53" i="1" l="1"/>
  <c r="O53" i="1"/>
  <c r="AH53" i="1"/>
  <c r="M53" i="1"/>
  <c r="AG53" i="1" s="1"/>
  <c r="AI53" i="1"/>
  <c r="AB54" i="1"/>
  <c r="Q53" i="1" l="1"/>
  <c r="E54" i="1"/>
  <c r="H54" i="1"/>
  <c r="AA54" i="1"/>
  <c r="AJ54" i="1" s="1"/>
  <c r="Z54" i="1"/>
  <c r="Y54" i="1"/>
  <c r="T53" i="1" l="1"/>
  <c r="F54" i="1"/>
  <c r="G54" i="1"/>
  <c r="I54" i="1" l="1"/>
  <c r="L54" i="1" l="1"/>
  <c r="D55" i="1" s="1"/>
  <c r="P54" i="1" s="1"/>
  <c r="J54" i="1"/>
  <c r="B55" i="1" s="1"/>
  <c r="K54" i="1"/>
  <c r="C55" i="1" s="1"/>
  <c r="N54" i="1" s="1"/>
  <c r="AD54" i="1" s="1"/>
  <c r="X54" i="1" l="1"/>
  <c r="U54" i="1" s="1"/>
  <c r="AE54" i="1"/>
  <c r="O54" i="1"/>
  <c r="AH54" i="1"/>
  <c r="M54" i="1"/>
  <c r="AI54" i="1"/>
  <c r="AB55" i="1"/>
  <c r="AG54" i="1" l="1"/>
  <c r="AC54" i="1"/>
  <c r="Q54" i="1"/>
  <c r="E55" i="1"/>
  <c r="H55" i="1"/>
  <c r="AA55" i="1"/>
  <c r="AJ55" i="1" s="1"/>
  <c r="Z55" i="1"/>
  <c r="Y55" i="1"/>
  <c r="T54" i="1" l="1"/>
  <c r="F55" i="1"/>
  <c r="G55" i="1"/>
  <c r="I55" i="1" l="1"/>
  <c r="L55" i="1" l="1"/>
  <c r="D56" i="1" s="1"/>
  <c r="P55" i="1" s="1"/>
  <c r="X55" i="1" s="1"/>
  <c r="J55" i="1"/>
  <c r="B56" i="1" s="1"/>
  <c r="K55" i="1"/>
  <c r="C56" i="1" s="1"/>
  <c r="N55" i="1" s="1"/>
  <c r="U55" i="1" l="1"/>
  <c r="O55" i="1"/>
  <c r="AH55" i="1"/>
  <c r="M55" i="1"/>
  <c r="AG55" i="1" s="1"/>
  <c r="AI55" i="1"/>
  <c r="AB56" i="1"/>
  <c r="Q55" i="1" l="1"/>
  <c r="E56" i="1"/>
  <c r="H56" i="1"/>
  <c r="AA56" i="1"/>
  <c r="AJ56" i="1" s="1"/>
  <c r="Z56" i="1"/>
  <c r="Y56" i="1"/>
  <c r="T55" i="1" l="1"/>
  <c r="F56" i="1"/>
  <c r="G56" i="1"/>
  <c r="I56" i="1" l="1"/>
  <c r="L56" i="1" l="1"/>
  <c r="D57" i="1" s="1"/>
  <c r="P56" i="1" s="1"/>
  <c r="X56" i="1" s="1"/>
  <c r="K56" i="1"/>
  <c r="C57" i="1" s="1"/>
  <c r="N56" i="1" s="1"/>
  <c r="J56" i="1"/>
  <c r="B57" i="1" s="1"/>
  <c r="U56" i="1" l="1"/>
  <c r="O56" i="1"/>
  <c r="AH56" i="1"/>
  <c r="M56" i="1"/>
  <c r="AG56" i="1" s="1"/>
  <c r="AI56" i="1"/>
  <c r="AB57" i="1"/>
  <c r="Q56" i="1" l="1"/>
  <c r="E57" i="1"/>
  <c r="H57" i="1"/>
  <c r="AA57" i="1"/>
  <c r="AJ57" i="1" s="1"/>
  <c r="Z57" i="1"/>
  <c r="Y57" i="1"/>
  <c r="T56" i="1" l="1"/>
  <c r="F57" i="1"/>
  <c r="G57" i="1"/>
  <c r="I57" i="1" l="1"/>
  <c r="L57" i="1" l="1"/>
  <c r="D58" i="1" s="1"/>
  <c r="P57" i="1" s="1"/>
  <c r="X57" i="1" s="1"/>
  <c r="J57" i="1"/>
  <c r="B58" i="1" s="1"/>
  <c r="K57" i="1"/>
  <c r="C58" i="1" s="1"/>
  <c r="N57" i="1" s="1"/>
  <c r="AD57" i="1" s="1"/>
  <c r="U57" i="1" l="1"/>
  <c r="O57" i="1"/>
  <c r="AH57" i="1"/>
  <c r="M57" i="1"/>
  <c r="Q57" i="1" s="1"/>
  <c r="AI57" i="1"/>
  <c r="AB58" i="1"/>
  <c r="T57" i="1" l="1"/>
  <c r="AG57" i="1"/>
  <c r="AC57" i="1"/>
  <c r="AE57" i="1"/>
  <c r="E58" i="1"/>
  <c r="H58" i="1"/>
  <c r="AA58" i="1"/>
  <c r="AJ58" i="1" s="1"/>
  <c r="Z58" i="1"/>
  <c r="Y58" i="1"/>
  <c r="F58" i="1" l="1"/>
  <c r="G58" i="1"/>
  <c r="I58" i="1" l="1"/>
  <c r="L58" i="1" l="1"/>
  <c r="D59" i="1" s="1"/>
  <c r="P58" i="1" s="1"/>
  <c r="X58" i="1" s="1"/>
  <c r="J58" i="1"/>
  <c r="B59" i="1" s="1"/>
  <c r="K58" i="1"/>
  <c r="C59" i="1" s="1"/>
  <c r="N58" i="1" s="1"/>
  <c r="U58" i="1" l="1"/>
  <c r="O58" i="1"/>
  <c r="AH58" i="1"/>
  <c r="M58" i="1"/>
  <c r="AG58" i="1" s="1"/>
  <c r="AI58" i="1"/>
  <c r="AB59" i="1"/>
  <c r="Q58" i="1" l="1"/>
  <c r="E59" i="1"/>
  <c r="H59" i="1"/>
  <c r="AA59" i="1"/>
  <c r="AJ59" i="1" s="1"/>
  <c r="Z59" i="1"/>
  <c r="Y59" i="1"/>
  <c r="T58" i="1" l="1"/>
  <c r="F59" i="1"/>
  <c r="G59" i="1"/>
  <c r="I59" i="1" l="1"/>
  <c r="L59" i="1" l="1"/>
  <c r="D60" i="1" s="1"/>
  <c r="P59" i="1" s="1"/>
  <c r="X59" i="1" s="1"/>
  <c r="J59" i="1"/>
  <c r="B60" i="1" s="1"/>
  <c r="K59" i="1"/>
  <c r="C60" i="1" s="1"/>
  <c r="N59" i="1" s="1"/>
  <c r="AD59" i="1" s="1"/>
  <c r="U59" i="1" l="1"/>
  <c r="O59" i="1"/>
  <c r="AH59" i="1"/>
  <c r="M59" i="1"/>
  <c r="Q59" i="1" s="1"/>
  <c r="AB60" i="1"/>
  <c r="T59" i="1" l="1"/>
  <c r="AI59" i="1"/>
  <c r="AE59" i="1"/>
  <c r="AG59" i="1"/>
  <c r="AC59" i="1"/>
  <c r="E60" i="1"/>
  <c r="H60" i="1"/>
  <c r="AA60" i="1"/>
  <c r="AJ60" i="1" s="1"/>
  <c r="Z60" i="1"/>
  <c r="Y60" i="1"/>
  <c r="F60" i="1" l="1"/>
  <c r="G60" i="1"/>
  <c r="I60" i="1" l="1"/>
  <c r="L60" i="1" l="1"/>
  <c r="D61" i="1" s="1"/>
  <c r="P60" i="1" s="1"/>
  <c r="X60" i="1" s="1"/>
  <c r="J60" i="1"/>
  <c r="B61" i="1" s="1"/>
  <c r="K60" i="1"/>
  <c r="C61" i="1" s="1"/>
  <c r="N60" i="1" s="1"/>
  <c r="U60" i="1" l="1"/>
  <c r="O60" i="1"/>
  <c r="AH60" i="1"/>
  <c r="M60" i="1"/>
  <c r="AG60" i="1" s="1"/>
  <c r="AI60" i="1"/>
  <c r="AB61" i="1"/>
  <c r="Q60" i="1" l="1"/>
  <c r="E61" i="1"/>
  <c r="H61" i="1"/>
  <c r="AA61" i="1"/>
  <c r="Z61" i="1"/>
  <c r="Y61" i="1"/>
  <c r="T60" i="1" l="1"/>
  <c r="AJ61" i="1"/>
  <c r="F61" i="1"/>
  <c r="G61" i="1"/>
  <c r="I61" i="1" l="1"/>
  <c r="L61" i="1" l="1"/>
  <c r="D62" i="1" s="1"/>
  <c r="P61" i="1" s="1"/>
  <c r="X61" i="1" s="1"/>
  <c r="J61" i="1"/>
  <c r="B62" i="1" s="1"/>
  <c r="K61" i="1"/>
  <c r="C62" i="1" s="1"/>
  <c r="N61" i="1" s="1"/>
  <c r="U61" i="1" l="1"/>
  <c r="O61" i="1"/>
  <c r="AH61" i="1"/>
  <c r="M61" i="1"/>
  <c r="Q61" i="1" s="1"/>
  <c r="AI61" i="1"/>
  <c r="AB62" i="1"/>
  <c r="T61" i="1" l="1"/>
  <c r="E62" i="1"/>
  <c r="H62" i="1"/>
  <c r="AA62" i="1"/>
  <c r="Z62" i="1"/>
  <c r="Y62" i="1"/>
  <c r="AG61" i="1"/>
  <c r="AJ62" i="1" l="1"/>
  <c r="F62" i="1"/>
  <c r="G62" i="1"/>
  <c r="I62" i="1" l="1"/>
  <c r="L62" i="1" l="1"/>
  <c r="D63" i="1" s="1"/>
  <c r="P62" i="1" s="1"/>
  <c r="X62" i="1" s="1"/>
  <c r="J62" i="1"/>
  <c r="B63" i="1" s="1"/>
  <c r="K62" i="1"/>
  <c r="C63" i="1" s="1"/>
  <c r="N62" i="1" s="1"/>
  <c r="U62" i="1" l="1"/>
  <c r="O62" i="1"/>
  <c r="AH62" i="1"/>
  <c r="M62" i="1"/>
  <c r="Q62" i="1" s="1"/>
  <c r="AI62" i="1"/>
  <c r="AB63" i="1"/>
  <c r="T62" i="1" l="1"/>
  <c r="E63" i="1"/>
  <c r="H63" i="1"/>
  <c r="AA63" i="1"/>
  <c r="Z63" i="1"/>
  <c r="Y63" i="1"/>
  <c r="AG62" i="1"/>
  <c r="AJ63" i="1" l="1"/>
  <c r="F63" i="1"/>
  <c r="G63" i="1"/>
  <c r="I63" i="1" l="1"/>
  <c r="L63" i="1" l="1"/>
  <c r="D64" i="1" s="1"/>
  <c r="P63" i="1" s="1"/>
  <c r="J63" i="1"/>
  <c r="B64" i="1" s="1"/>
  <c r="K63" i="1"/>
  <c r="C64" i="1" s="1"/>
  <c r="N63" i="1" s="1"/>
  <c r="AD63" i="1" s="1"/>
  <c r="X63" i="1" l="1"/>
  <c r="U63" i="1" s="1"/>
  <c r="AE63" i="1"/>
  <c r="O63" i="1"/>
  <c r="AH63" i="1"/>
  <c r="M63" i="1"/>
  <c r="AI63" i="1"/>
  <c r="AB64" i="1"/>
  <c r="Q63" i="1" l="1"/>
  <c r="T63" i="1" s="1"/>
  <c r="AC63" i="1"/>
  <c r="E64" i="1"/>
  <c r="H64" i="1"/>
  <c r="AA64" i="1"/>
  <c r="Z64" i="1"/>
  <c r="Y64" i="1"/>
  <c r="AG63" i="1"/>
  <c r="AJ64" i="1" l="1"/>
  <c r="F64" i="1"/>
  <c r="G64" i="1"/>
  <c r="I64" i="1" l="1"/>
  <c r="L64" i="1" l="1"/>
  <c r="D65" i="1" s="1"/>
  <c r="P64" i="1" s="1"/>
  <c r="X64" i="1" s="1"/>
  <c r="J64" i="1"/>
  <c r="B65" i="1" s="1"/>
  <c r="K64" i="1"/>
  <c r="C65" i="1" s="1"/>
  <c r="N64" i="1" s="1"/>
  <c r="U64" i="1" l="1"/>
  <c r="O64" i="1"/>
  <c r="AH64" i="1"/>
  <c r="M64" i="1"/>
  <c r="Q64" i="1" s="1"/>
  <c r="AI64" i="1"/>
  <c r="AB65" i="1"/>
  <c r="T64" i="1" l="1"/>
  <c r="E65" i="1"/>
  <c r="H65" i="1"/>
  <c r="AA65" i="1"/>
  <c r="Z65" i="1"/>
  <c r="Y65" i="1"/>
  <c r="AG64" i="1"/>
  <c r="AJ65" i="1" l="1"/>
  <c r="F65" i="1"/>
  <c r="G65" i="1"/>
  <c r="I65" i="1" l="1"/>
  <c r="L65" i="1" l="1"/>
  <c r="D66" i="1" s="1"/>
  <c r="P65" i="1" s="1"/>
  <c r="X65" i="1" s="1"/>
  <c r="J65" i="1"/>
  <c r="B66" i="1" s="1"/>
  <c r="K65" i="1"/>
  <c r="C66" i="1" s="1"/>
  <c r="N65" i="1" s="1"/>
  <c r="U65" i="1" l="1"/>
  <c r="O65" i="1"/>
  <c r="AH65" i="1"/>
  <c r="M65" i="1"/>
  <c r="Q65" i="1" s="1"/>
  <c r="AI65" i="1"/>
  <c r="AB66" i="1"/>
  <c r="T65" i="1" l="1"/>
  <c r="E66" i="1"/>
  <c r="H66" i="1"/>
  <c r="AA66" i="1"/>
  <c r="AJ66" i="1" s="1"/>
  <c r="Z66" i="1"/>
  <c r="Y66" i="1"/>
  <c r="AG65" i="1"/>
  <c r="F66" i="1" l="1"/>
  <c r="G66" i="1"/>
  <c r="I66" i="1" l="1"/>
  <c r="L66" i="1" l="1"/>
  <c r="D67" i="1" s="1"/>
  <c r="P66" i="1" s="1"/>
  <c r="X66" i="1" s="1"/>
  <c r="J66" i="1"/>
  <c r="B67" i="1" s="1"/>
  <c r="K66" i="1"/>
  <c r="C67" i="1" s="1"/>
  <c r="N66" i="1" s="1"/>
  <c r="AD66" i="1" s="1"/>
  <c r="U66" i="1" l="1"/>
  <c r="O66" i="1"/>
  <c r="AH66" i="1"/>
  <c r="M66" i="1"/>
  <c r="Q66" i="1" s="1"/>
  <c r="AE66" i="1"/>
  <c r="AB67" i="1"/>
  <c r="T66" i="1" l="1"/>
  <c r="AG66" i="1"/>
  <c r="AC66" i="1"/>
  <c r="E67" i="1"/>
  <c r="H67" i="1"/>
  <c r="AA67" i="1"/>
  <c r="AJ67" i="1" s="1"/>
  <c r="Z67" i="1"/>
  <c r="Y67" i="1"/>
  <c r="F67" i="1" l="1"/>
  <c r="G67" i="1"/>
  <c r="I67" i="1" l="1"/>
  <c r="L67" i="1" l="1"/>
  <c r="D68" i="1" s="1"/>
  <c r="P67" i="1" s="1"/>
  <c r="X67" i="1" s="1"/>
  <c r="J67" i="1"/>
  <c r="B68" i="1" s="1"/>
  <c r="K67" i="1"/>
  <c r="C68" i="1" s="1"/>
  <c r="N67" i="1" s="1"/>
  <c r="AH67" i="1" s="1"/>
  <c r="U67" i="1" l="1"/>
  <c r="O67" i="1"/>
  <c r="AD67" i="1"/>
  <c r="M67" i="1"/>
  <c r="Q67" i="1" s="1"/>
  <c r="AI67" i="1"/>
  <c r="AB68" i="1"/>
  <c r="T67" i="1" l="1"/>
  <c r="AC67" i="1"/>
  <c r="AG67" i="1"/>
  <c r="AE67" i="1"/>
  <c r="E68" i="1"/>
  <c r="H68" i="1"/>
  <c r="AA68" i="1"/>
  <c r="AJ68" i="1" s="1"/>
  <c r="Z68" i="1"/>
  <c r="Y68" i="1"/>
  <c r="F68" i="1" l="1"/>
  <c r="G68" i="1"/>
  <c r="I68" i="1" l="1"/>
  <c r="L68" i="1" l="1"/>
  <c r="D69" i="1" s="1"/>
  <c r="P68" i="1" s="1"/>
  <c r="X68" i="1" s="1"/>
  <c r="J68" i="1"/>
  <c r="B69" i="1" s="1"/>
  <c r="K68" i="1"/>
  <c r="C69" i="1" s="1"/>
  <c r="N68" i="1" s="1"/>
  <c r="U68" i="1" l="1"/>
  <c r="O68" i="1"/>
  <c r="AH68" i="1"/>
  <c r="M68" i="1"/>
  <c r="AG68" i="1" s="1"/>
  <c r="AI68" i="1"/>
  <c r="AB69" i="1"/>
  <c r="Q68" i="1" l="1"/>
  <c r="E69" i="1"/>
  <c r="H69" i="1"/>
  <c r="AA69" i="1"/>
  <c r="AJ69" i="1" s="1"/>
  <c r="Z69" i="1"/>
  <c r="Y69" i="1"/>
  <c r="T68" i="1" l="1"/>
  <c r="F69" i="1"/>
  <c r="G69" i="1"/>
  <c r="I69" i="1" l="1"/>
  <c r="L69" i="1" l="1"/>
  <c r="D70" i="1" s="1"/>
  <c r="P69" i="1" s="1"/>
  <c r="J69" i="1"/>
  <c r="B70" i="1" s="1"/>
  <c r="K69" i="1"/>
  <c r="C70" i="1" s="1"/>
  <c r="N69" i="1" s="1"/>
  <c r="AD69" i="1" s="1"/>
  <c r="X69" i="1" l="1"/>
  <c r="U69" i="1" s="1"/>
  <c r="AE69" i="1"/>
  <c r="O69" i="1"/>
  <c r="AH69" i="1"/>
  <c r="M69" i="1"/>
  <c r="AI69" i="1"/>
  <c r="AB70" i="1"/>
  <c r="AG69" i="1" l="1"/>
  <c r="AC69" i="1"/>
  <c r="Q69" i="1"/>
  <c r="E70" i="1"/>
  <c r="H70" i="1"/>
  <c r="AA70" i="1"/>
  <c r="AJ70" i="1" s="1"/>
  <c r="Z70" i="1"/>
  <c r="Y70" i="1"/>
  <c r="T69" i="1" l="1"/>
  <c r="F70" i="1"/>
  <c r="G70" i="1"/>
  <c r="I70" i="1" l="1"/>
  <c r="L70" i="1" l="1"/>
  <c r="D71" i="1" s="1"/>
  <c r="P70" i="1" s="1"/>
  <c r="X70" i="1" s="1"/>
  <c r="J70" i="1"/>
  <c r="B71" i="1" s="1"/>
  <c r="K70" i="1"/>
  <c r="C71" i="1" s="1"/>
  <c r="N70" i="1" s="1"/>
  <c r="U70" i="1" l="1"/>
  <c r="O70" i="1"/>
  <c r="AH70" i="1"/>
  <c r="M70" i="1"/>
  <c r="AG70" i="1" s="1"/>
  <c r="AI70" i="1"/>
  <c r="AB71" i="1"/>
  <c r="Q70" i="1" l="1"/>
  <c r="E71" i="1"/>
  <c r="H71" i="1"/>
  <c r="AA71" i="1"/>
  <c r="AJ71" i="1" s="1"/>
  <c r="Z71" i="1"/>
  <c r="Y71" i="1"/>
  <c r="T70" i="1" l="1"/>
  <c r="F71" i="1"/>
  <c r="G71" i="1"/>
  <c r="I71" i="1" l="1"/>
  <c r="L71" i="1" l="1"/>
  <c r="D72" i="1" s="1"/>
  <c r="P71" i="1" s="1"/>
  <c r="X71" i="1" s="1"/>
  <c r="J71" i="1"/>
  <c r="B72" i="1" s="1"/>
  <c r="K71" i="1"/>
  <c r="C72" i="1" s="1"/>
  <c r="N71" i="1" s="1"/>
  <c r="U71" i="1" l="1"/>
  <c r="O71" i="1"/>
  <c r="AH71" i="1"/>
  <c r="M71" i="1"/>
  <c r="AG71" i="1" s="1"/>
  <c r="AI71" i="1"/>
  <c r="AB72" i="1"/>
  <c r="Q71" i="1" l="1"/>
  <c r="E72" i="1"/>
  <c r="H72" i="1"/>
  <c r="AA72" i="1"/>
  <c r="AJ72" i="1" s="1"/>
  <c r="Z72" i="1"/>
  <c r="Y72" i="1"/>
  <c r="T71" i="1" l="1"/>
  <c r="F72" i="1"/>
  <c r="G72" i="1"/>
  <c r="I72" i="1" l="1"/>
  <c r="L72" i="1" l="1"/>
  <c r="D73" i="1" s="1"/>
  <c r="P72" i="1" s="1"/>
  <c r="J72" i="1"/>
  <c r="B73" i="1" s="1"/>
  <c r="K72" i="1"/>
  <c r="C73" i="1" s="1"/>
  <c r="N72" i="1" s="1"/>
  <c r="AD72" i="1" s="1"/>
  <c r="X72" i="1" l="1"/>
  <c r="U72" i="1" s="1"/>
  <c r="AE72" i="1"/>
  <c r="O72" i="1"/>
  <c r="AH72" i="1"/>
  <c r="M72" i="1"/>
  <c r="AI72" i="1"/>
  <c r="AB73" i="1"/>
  <c r="AG72" i="1" l="1"/>
  <c r="AC72" i="1"/>
  <c r="Q72" i="1"/>
  <c r="E73" i="1"/>
  <c r="H73" i="1"/>
  <c r="AA73" i="1"/>
  <c r="AJ73" i="1" s="1"/>
  <c r="Z73" i="1"/>
  <c r="Y73" i="1"/>
  <c r="T72" i="1" l="1"/>
  <c r="F73" i="1"/>
  <c r="G73" i="1"/>
  <c r="I73" i="1" l="1"/>
  <c r="L73" i="1" l="1"/>
  <c r="D74" i="1" s="1"/>
  <c r="P73" i="1" s="1"/>
  <c r="X73" i="1" s="1"/>
  <c r="J73" i="1"/>
  <c r="B74" i="1" s="1"/>
  <c r="K73" i="1"/>
  <c r="C74" i="1" s="1"/>
  <c r="N73" i="1" s="1"/>
  <c r="U73" i="1" l="1"/>
  <c r="O73" i="1"/>
  <c r="AH73" i="1"/>
  <c r="M73" i="1"/>
  <c r="AG73" i="1" s="1"/>
  <c r="AI73" i="1"/>
  <c r="AB74" i="1"/>
  <c r="Q73" i="1" l="1"/>
  <c r="E74" i="1"/>
  <c r="H74" i="1"/>
  <c r="AA74" i="1"/>
  <c r="AJ74" i="1" s="1"/>
  <c r="Z74" i="1"/>
  <c r="Y74" i="1"/>
  <c r="T73" i="1" l="1"/>
  <c r="F74" i="1"/>
  <c r="G74" i="1"/>
  <c r="I74" i="1" l="1"/>
  <c r="L74" i="1" l="1"/>
  <c r="D75" i="1" s="1"/>
  <c r="P74" i="1" s="1"/>
  <c r="X74" i="1" s="1"/>
  <c r="J74" i="1"/>
  <c r="B75" i="1" s="1"/>
  <c r="K74" i="1"/>
  <c r="C75" i="1" s="1"/>
  <c r="N74" i="1" s="1"/>
  <c r="U74" i="1" l="1"/>
  <c r="O74" i="1"/>
  <c r="AH74" i="1"/>
  <c r="M74" i="1"/>
  <c r="AG74" i="1" s="1"/>
  <c r="AI74" i="1"/>
  <c r="AB75" i="1"/>
  <c r="Q74" i="1" l="1"/>
  <c r="E75" i="1"/>
  <c r="H75" i="1"/>
  <c r="AA75" i="1"/>
  <c r="AJ75" i="1" s="1"/>
  <c r="Z75" i="1"/>
  <c r="Y75" i="1"/>
  <c r="T74" i="1" l="1"/>
  <c r="F75" i="1"/>
  <c r="G75" i="1"/>
  <c r="I75" i="1" l="1"/>
  <c r="L75" i="1" l="1"/>
  <c r="D76" i="1" s="1"/>
  <c r="P75" i="1" s="1"/>
  <c r="X75" i="1" s="1"/>
  <c r="J75" i="1"/>
  <c r="B76" i="1" s="1"/>
  <c r="K75" i="1"/>
  <c r="C76" i="1" s="1"/>
  <c r="N75" i="1" s="1"/>
  <c r="U75" i="1" l="1"/>
  <c r="O75" i="1"/>
  <c r="AH75" i="1"/>
  <c r="M75" i="1"/>
  <c r="AG75" i="1" s="1"/>
  <c r="AI75" i="1"/>
  <c r="AB76" i="1"/>
  <c r="Q75" i="1" l="1"/>
  <c r="E76" i="1"/>
  <c r="H76" i="1"/>
  <c r="AA76" i="1"/>
  <c r="AJ76" i="1" s="1"/>
  <c r="Z76" i="1"/>
  <c r="Y76" i="1"/>
  <c r="T75" i="1" l="1"/>
  <c r="F76" i="1"/>
  <c r="G76" i="1"/>
  <c r="I76" i="1" l="1"/>
  <c r="L76" i="1" l="1"/>
  <c r="D77" i="1" s="1"/>
  <c r="P76" i="1" s="1"/>
  <c r="J76" i="1"/>
  <c r="B77" i="1" s="1"/>
  <c r="K76" i="1"/>
  <c r="C77" i="1" s="1"/>
  <c r="N76" i="1" s="1"/>
  <c r="AD76" i="1" s="1"/>
  <c r="X76" i="1" l="1"/>
  <c r="U76" i="1" s="1"/>
  <c r="AE76" i="1"/>
  <c r="O76" i="1"/>
  <c r="AH76" i="1"/>
  <c r="M76" i="1"/>
  <c r="AI76" i="1"/>
  <c r="AB77" i="1"/>
  <c r="AG76" i="1" l="1"/>
  <c r="AC76" i="1"/>
  <c r="Q76" i="1"/>
  <c r="E77" i="1"/>
  <c r="H77" i="1"/>
  <c r="AA77" i="1"/>
  <c r="AJ77" i="1" s="1"/>
  <c r="Z77" i="1"/>
  <c r="Y77" i="1"/>
  <c r="T76" i="1" l="1"/>
  <c r="F77" i="1"/>
  <c r="G77" i="1"/>
  <c r="I77" i="1" l="1"/>
  <c r="L77" i="1" l="1"/>
  <c r="D78" i="1" s="1"/>
  <c r="P77" i="1" s="1"/>
  <c r="X77" i="1" s="1"/>
  <c r="J77" i="1"/>
  <c r="B78" i="1" s="1"/>
  <c r="K77" i="1"/>
  <c r="C78" i="1" s="1"/>
  <c r="N77" i="1" s="1"/>
  <c r="AD77" i="1" s="1"/>
  <c r="U77" i="1" l="1"/>
  <c r="O77" i="1"/>
  <c r="AH77" i="1"/>
  <c r="M77" i="1"/>
  <c r="Q77" i="1" s="1"/>
  <c r="AB78" i="1"/>
  <c r="T77" i="1" l="1"/>
  <c r="AI77" i="1"/>
  <c r="AE77" i="1"/>
  <c r="AG77" i="1"/>
  <c r="AC77" i="1"/>
  <c r="E78" i="1"/>
  <c r="H78" i="1"/>
  <c r="AA78" i="1"/>
  <c r="AJ78" i="1" s="1"/>
  <c r="Z78" i="1"/>
  <c r="Y78" i="1"/>
  <c r="F78" i="1" l="1"/>
  <c r="G78" i="1"/>
  <c r="I78" i="1" l="1"/>
  <c r="L78" i="1" l="1"/>
  <c r="D79" i="1" s="1"/>
  <c r="P78" i="1" s="1"/>
  <c r="X78" i="1" s="1"/>
  <c r="J78" i="1"/>
  <c r="B79" i="1" s="1"/>
  <c r="K78" i="1"/>
  <c r="C79" i="1" s="1"/>
  <c r="N78" i="1" s="1"/>
  <c r="U78" i="1" l="1"/>
  <c r="O78" i="1"/>
  <c r="AH78" i="1"/>
  <c r="M78" i="1"/>
  <c r="AG78" i="1" s="1"/>
  <c r="AI78" i="1"/>
  <c r="AB79" i="1"/>
  <c r="Q78" i="1" l="1"/>
  <c r="E79" i="1"/>
  <c r="H79" i="1"/>
  <c r="AA79" i="1"/>
  <c r="AJ79" i="1" s="1"/>
  <c r="Z79" i="1"/>
  <c r="Y79" i="1"/>
  <c r="T78" i="1" l="1"/>
  <c r="F79" i="1"/>
  <c r="G79" i="1"/>
  <c r="I79" i="1" l="1"/>
  <c r="L79" i="1" l="1"/>
  <c r="D80" i="1" s="1"/>
  <c r="P79" i="1" s="1"/>
  <c r="X79" i="1" s="1"/>
  <c r="J79" i="1"/>
  <c r="B80" i="1" s="1"/>
  <c r="K79" i="1"/>
  <c r="C80" i="1" s="1"/>
  <c r="N79" i="1" s="1"/>
  <c r="U79" i="1" l="1"/>
  <c r="O79" i="1"/>
  <c r="AH79" i="1"/>
  <c r="M79" i="1"/>
  <c r="AG79" i="1" s="1"/>
  <c r="AI79" i="1"/>
  <c r="AB80" i="1"/>
  <c r="Q79" i="1" l="1"/>
  <c r="E80" i="1"/>
  <c r="H80" i="1"/>
  <c r="AA80" i="1"/>
  <c r="AJ80" i="1" s="1"/>
  <c r="Z80" i="1"/>
  <c r="Y80" i="1"/>
  <c r="T79" i="1" l="1"/>
  <c r="F80" i="1"/>
  <c r="G80" i="1"/>
  <c r="I80" i="1" l="1"/>
  <c r="L80" i="1" l="1"/>
  <c r="D81" i="1" s="1"/>
  <c r="P80" i="1" s="1"/>
  <c r="J80" i="1"/>
  <c r="B81" i="1" s="1"/>
  <c r="K80" i="1"/>
  <c r="C81" i="1" s="1"/>
  <c r="N80" i="1" s="1"/>
  <c r="AD80" i="1" s="1"/>
  <c r="X80" i="1" l="1"/>
  <c r="U80" i="1" s="1"/>
  <c r="AE80" i="1"/>
  <c r="O80" i="1"/>
  <c r="AH80" i="1"/>
  <c r="M80" i="1"/>
  <c r="AI80" i="1"/>
  <c r="AB81" i="1"/>
  <c r="AG80" i="1" l="1"/>
  <c r="AC80" i="1"/>
  <c r="Q80" i="1"/>
  <c r="E81" i="1"/>
  <c r="H81" i="1"/>
  <c r="AA81" i="1"/>
  <c r="AJ81" i="1" s="1"/>
  <c r="Z81" i="1"/>
  <c r="Y81" i="1"/>
  <c r="T80" i="1" l="1"/>
  <c r="F81" i="1"/>
  <c r="G81" i="1"/>
  <c r="I81" i="1" l="1"/>
  <c r="L81" i="1" l="1"/>
  <c r="D82" i="1" s="1"/>
  <c r="P81" i="1" s="1"/>
  <c r="X81" i="1" s="1"/>
  <c r="J81" i="1"/>
  <c r="B82" i="1" s="1"/>
  <c r="K81" i="1"/>
  <c r="C82" i="1" s="1"/>
  <c r="N81" i="1" s="1"/>
  <c r="U81" i="1" l="1"/>
  <c r="O81" i="1"/>
  <c r="AH81" i="1"/>
  <c r="M81" i="1"/>
  <c r="AG81" i="1" s="1"/>
  <c r="AI81" i="1"/>
  <c r="AB82" i="1"/>
  <c r="Q81" i="1" l="1"/>
  <c r="E82" i="1"/>
  <c r="H82" i="1"/>
  <c r="AA82" i="1"/>
  <c r="AJ82" i="1" s="1"/>
  <c r="Z82" i="1"/>
  <c r="Y82" i="1"/>
  <c r="T81" i="1" l="1"/>
  <c r="F82" i="1"/>
  <c r="G82" i="1"/>
  <c r="I82" i="1" l="1"/>
  <c r="L82" i="1" l="1"/>
  <c r="D83" i="1" s="1"/>
  <c r="P82" i="1" s="1"/>
  <c r="X82" i="1" s="1"/>
  <c r="J82" i="1"/>
  <c r="B83" i="1" s="1"/>
  <c r="K82" i="1"/>
  <c r="C83" i="1" s="1"/>
  <c r="N82" i="1" s="1"/>
  <c r="U82" i="1" l="1"/>
  <c r="O82" i="1"/>
  <c r="AH82" i="1"/>
  <c r="M82" i="1"/>
  <c r="AG82" i="1" s="1"/>
  <c r="AI82" i="1"/>
  <c r="AB83" i="1"/>
  <c r="Q82" i="1" l="1"/>
  <c r="E83" i="1"/>
  <c r="H83" i="1"/>
  <c r="AA83" i="1"/>
  <c r="AJ83" i="1" s="1"/>
  <c r="Z83" i="1"/>
  <c r="Y83" i="1"/>
  <c r="T82" i="1" l="1"/>
  <c r="F83" i="1"/>
  <c r="G83" i="1"/>
  <c r="I83" i="1" l="1"/>
  <c r="L83" i="1" l="1"/>
  <c r="D84" i="1" s="1"/>
  <c r="P83" i="1" s="1"/>
  <c r="X83" i="1" s="1"/>
  <c r="J83" i="1"/>
  <c r="B84" i="1" s="1"/>
  <c r="K83" i="1"/>
  <c r="C84" i="1" s="1"/>
  <c r="N83" i="1" s="1"/>
  <c r="U83" i="1" l="1"/>
  <c r="O83" i="1"/>
  <c r="AH83" i="1"/>
  <c r="M83" i="1"/>
  <c r="AG83" i="1" s="1"/>
  <c r="AI83" i="1"/>
  <c r="AB84" i="1"/>
  <c r="Q83" i="1" l="1"/>
  <c r="E84" i="1"/>
  <c r="H84" i="1"/>
  <c r="AA84" i="1"/>
  <c r="AJ84" i="1" s="1"/>
  <c r="Z84" i="1"/>
  <c r="Y84" i="1"/>
  <c r="T83" i="1" l="1"/>
  <c r="F84" i="1"/>
  <c r="G84" i="1"/>
  <c r="I84" i="1" l="1"/>
  <c r="L84" i="1" l="1"/>
  <c r="D85" i="1" s="1"/>
  <c r="P84" i="1" s="1"/>
  <c r="X84" i="1" s="1"/>
  <c r="J84" i="1"/>
  <c r="B85" i="1" s="1"/>
  <c r="K84" i="1"/>
  <c r="C85" i="1" s="1"/>
  <c r="N84" i="1" s="1"/>
  <c r="U84" i="1" l="1"/>
  <c r="O84" i="1"/>
  <c r="AH84" i="1"/>
  <c r="M84" i="1"/>
  <c r="AG84" i="1" s="1"/>
  <c r="AI84" i="1"/>
  <c r="AB85" i="1"/>
  <c r="Q84" i="1" l="1"/>
  <c r="E85" i="1"/>
  <c r="H85" i="1"/>
  <c r="AA85" i="1"/>
  <c r="AJ85" i="1" s="1"/>
  <c r="Z85" i="1"/>
  <c r="Y85" i="1"/>
  <c r="T84" i="1" l="1"/>
  <c r="F85" i="1"/>
  <c r="G85" i="1"/>
  <c r="I85" i="1" l="1"/>
  <c r="L85" i="1" l="1"/>
  <c r="D86" i="1" s="1"/>
  <c r="P85" i="1" s="1"/>
  <c r="X85" i="1" s="1"/>
  <c r="J85" i="1"/>
  <c r="B86" i="1" s="1"/>
  <c r="K85" i="1"/>
  <c r="C86" i="1" s="1"/>
  <c r="N85" i="1" s="1"/>
  <c r="U85" i="1" l="1"/>
  <c r="O85" i="1"/>
  <c r="AH85" i="1"/>
  <c r="M85" i="1"/>
  <c r="AG85" i="1" s="1"/>
  <c r="AI85" i="1"/>
  <c r="AB86" i="1"/>
  <c r="Q85" i="1" l="1"/>
  <c r="E86" i="1"/>
  <c r="H86" i="1"/>
  <c r="AA86" i="1"/>
  <c r="AJ86" i="1" s="1"/>
  <c r="Z86" i="1"/>
  <c r="Y86" i="1"/>
  <c r="T85" i="1" l="1"/>
  <c r="F86" i="1"/>
  <c r="G86" i="1"/>
  <c r="I86" i="1" l="1"/>
  <c r="L86" i="1" l="1"/>
  <c r="D87" i="1" s="1"/>
  <c r="P86" i="1" s="1"/>
  <c r="X86" i="1" s="1"/>
  <c r="J86" i="1"/>
  <c r="B87" i="1" s="1"/>
  <c r="K86" i="1"/>
  <c r="C87" i="1" s="1"/>
  <c r="N86" i="1" s="1"/>
  <c r="U86" i="1" l="1"/>
  <c r="O86" i="1"/>
  <c r="AH86" i="1"/>
  <c r="M86" i="1"/>
  <c r="AG86" i="1" s="1"/>
  <c r="AI86" i="1"/>
  <c r="AB87" i="1"/>
  <c r="Q86" i="1" l="1"/>
  <c r="E87" i="1"/>
  <c r="H87" i="1"/>
  <c r="AA87" i="1"/>
  <c r="AJ87" i="1" s="1"/>
  <c r="Z87" i="1"/>
  <c r="Y87" i="1"/>
  <c r="T86" i="1" l="1"/>
  <c r="F87" i="1"/>
  <c r="G87" i="1"/>
  <c r="I87" i="1" l="1"/>
  <c r="L87" i="1" l="1"/>
  <c r="D88" i="1" s="1"/>
  <c r="P87" i="1" s="1"/>
  <c r="X87" i="1" s="1"/>
  <c r="J87" i="1"/>
  <c r="B88" i="1" s="1"/>
  <c r="K87" i="1"/>
  <c r="C88" i="1" s="1"/>
  <c r="N87" i="1" s="1"/>
  <c r="AD87" i="1" s="1"/>
  <c r="U87" i="1" l="1"/>
  <c r="O87" i="1"/>
  <c r="AH87" i="1"/>
  <c r="M87" i="1"/>
  <c r="Q87" i="1" s="1"/>
  <c r="AI87" i="1"/>
  <c r="AB88" i="1"/>
  <c r="T87" i="1" l="1"/>
  <c r="AG87" i="1"/>
  <c r="AC87" i="1"/>
  <c r="AE87" i="1"/>
  <c r="E88" i="1"/>
  <c r="H88" i="1"/>
  <c r="AA88" i="1"/>
  <c r="AJ88" i="1" s="1"/>
  <c r="Z88" i="1"/>
  <c r="Y88" i="1"/>
  <c r="F88" i="1" l="1"/>
  <c r="G88" i="1"/>
  <c r="I88" i="1" l="1"/>
  <c r="L88" i="1" l="1"/>
  <c r="D89" i="1" s="1"/>
  <c r="P88" i="1" s="1"/>
  <c r="X88" i="1" s="1"/>
  <c r="J88" i="1"/>
  <c r="B89" i="1" s="1"/>
  <c r="K88" i="1"/>
  <c r="C89" i="1" s="1"/>
  <c r="N88" i="1" s="1"/>
  <c r="U88" i="1" l="1"/>
  <c r="O88" i="1"/>
  <c r="AH88" i="1"/>
  <c r="M88" i="1"/>
  <c r="AG88" i="1" s="1"/>
  <c r="AI88" i="1"/>
  <c r="AB89" i="1"/>
  <c r="Q88" i="1" l="1"/>
  <c r="E89" i="1"/>
  <c r="H89" i="1"/>
  <c r="AA89" i="1"/>
  <c r="AJ89" i="1" s="1"/>
  <c r="Z89" i="1"/>
  <c r="Y89" i="1"/>
  <c r="T88" i="1" l="1"/>
  <c r="F89" i="1"/>
  <c r="G89" i="1"/>
  <c r="I89" i="1" l="1"/>
  <c r="L89" i="1" l="1"/>
  <c r="D90" i="1" s="1"/>
  <c r="P89" i="1" s="1"/>
  <c r="X89" i="1" s="1"/>
  <c r="J89" i="1"/>
  <c r="B90" i="1" s="1"/>
  <c r="K89" i="1"/>
  <c r="C90" i="1" s="1"/>
  <c r="N89" i="1" s="1"/>
  <c r="U89" i="1" l="1"/>
  <c r="O89" i="1"/>
  <c r="AH89" i="1"/>
  <c r="M89" i="1"/>
  <c r="AG89" i="1" s="1"/>
  <c r="AI89" i="1"/>
  <c r="AB90" i="1"/>
  <c r="Q89" i="1" l="1"/>
  <c r="E90" i="1"/>
  <c r="H90" i="1"/>
  <c r="AA90" i="1"/>
  <c r="AJ90" i="1" s="1"/>
  <c r="Z90" i="1"/>
  <c r="Y90" i="1"/>
  <c r="T89" i="1" l="1"/>
  <c r="F90" i="1"/>
  <c r="G90" i="1"/>
  <c r="I90" i="1" l="1"/>
  <c r="L90" i="1" l="1"/>
  <c r="D91" i="1" s="1"/>
  <c r="P90" i="1" s="1"/>
  <c r="X90" i="1" s="1"/>
  <c r="J90" i="1"/>
  <c r="B91" i="1" s="1"/>
  <c r="K90" i="1"/>
  <c r="C91" i="1" s="1"/>
  <c r="N90" i="1" s="1"/>
  <c r="U90" i="1" l="1"/>
  <c r="O90" i="1"/>
  <c r="AH90" i="1"/>
  <c r="M90" i="1"/>
  <c r="AG90" i="1" s="1"/>
  <c r="AI90" i="1"/>
  <c r="AB91" i="1"/>
  <c r="Q90" i="1" l="1"/>
  <c r="E91" i="1"/>
  <c r="H91" i="1"/>
  <c r="AA91" i="1"/>
  <c r="AJ91" i="1" s="1"/>
  <c r="Z91" i="1"/>
  <c r="Y91" i="1"/>
  <c r="T90" i="1" l="1"/>
  <c r="F91" i="1"/>
  <c r="G91" i="1"/>
  <c r="I91" i="1" l="1"/>
  <c r="L91" i="1" l="1"/>
  <c r="D92" i="1" s="1"/>
  <c r="P91" i="1" s="1"/>
  <c r="X91" i="1" s="1"/>
  <c r="J91" i="1"/>
  <c r="B92" i="1" s="1"/>
  <c r="K91" i="1"/>
  <c r="C92" i="1" s="1"/>
  <c r="N91" i="1" s="1"/>
  <c r="U91" i="1" l="1"/>
  <c r="O91" i="1"/>
  <c r="AH91" i="1"/>
  <c r="M91" i="1"/>
  <c r="AG91" i="1" s="1"/>
  <c r="AI91" i="1"/>
  <c r="AB92" i="1"/>
  <c r="Q91" i="1" l="1"/>
  <c r="E92" i="1"/>
  <c r="H92" i="1"/>
  <c r="AA92" i="1"/>
  <c r="AJ92" i="1" s="1"/>
  <c r="Z92" i="1"/>
  <c r="Y92" i="1"/>
  <c r="T91" i="1" l="1"/>
  <c r="F92" i="1"/>
  <c r="G92" i="1"/>
  <c r="I92" i="1" l="1"/>
  <c r="L92" i="1" l="1"/>
  <c r="D93" i="1" s="1"/>
  <c r="P92" i="1" s="1"/>
  <c r="X92" i="1" s="1"/>
  <c r="J92" i="1"/>
  <c r="B93" i="1" s="1"/>
  <c r="K92" i="1"/>
  <c r="C93" i="1" s="1"/>
  <c r="N92" i="1" s="1"/>
  <c r="U92" i="1" l="1"/>
  <c r="O92" i="1"/>
  <c r="AH92" i="1"/>
  <c r="M92" i="1"/>
  <c r="AG92" i="1" s="1"/>
  <c r="AI92" i="1"/>
  <c r="AB93" i="1"/>
  <c r="Q92" i="1" l="1"/>
  <c r="E93" i="1"/>
  <c r="H93" i="1"/>
  <c r="AA93" i="1"/>
  <c r="AJ93" i="1" s="1"/>
  <c r="Z93" i="1"/>
  <c r="Y93" i="1"/>
  <c r="T92" i="1" l="1"/>
  <c r="F93" i="1"/>
  <c r="G93" i="1"/>
  <c r="I93" i="1" l="1"/>
  <c r="L93" i="1" l="1"/>
  <c r="D94" i="1" s="1"/>
  <c r="P93" i="1" s="1"/>
  <c r="X93" i="1" s="1"/>
  <c r="J93" i="1"/>
  <c r="B94" i="1" s="1"/>
  <c r="K93" i="1"/>
  <c r="C94" i="1" s="1"/>
  <c r="N93" i="1" s="1"/>
  <c r="U93" i="1" l="1"/>
  <c r="O93" i="1"/>
  <c r="AH93" i="1"/>
  <c r="M93" i="1"/>
  <c r="AG93" i="1" s="1"/>
  <c r="AI93" i="1"/>
  <c r="AB94" i="1"/>
  <c r="Q93" i="1" l="1"/>
  <c r="E94" i="1"/>
  <c r="H94" i="1"/>
  <c r="AA94" i="1"/>
  <c r="AJ94" i="1" s="1"/>
  <c r="Z94" i="1"/>
  <c r="Y94" i="1"/>
  <c r="T93" i="1" l="1"/>
  <c r="F94" i="1"/>
  <c r="G94" i="1"/>
  <c r="I94" i="1" l="1"/>
  <c r="L94" i="1" l="1"/>
  <c r="D95" i="1" s="1"/>
  <c r="P94" i="1" s="1"/>
  <c r="X94" i="1" s="1"/>
  <c r="J94" i="1"/>
  <c r="B95" i="1" s="1"/>
  <c r="K94" i="1"/>
  <c r="C95" i="1" s="1"/>
  <c r="N94" i="1" s="1"/>
  <c r="U94" i="1" l="1"/>
  <c r="O94" i="1"/>
  <c r="AH94" i="1"/>
  <c r="M94" i="1"/>
  <c r="AG94" i="1" s="1"/>
  <c r="AI94" i="1"/>
  <c r="AB95" i="1"/>
  <c r="Q94" i="1" l="1"/>
  <c r="E95" i="1"/>
  <c r="H95" i="1"/>
  <c r="AA95" i="1"/>
  <c r="AJ95" i="1" s="1"/>
  <c r="Z95" i="1"/>
  <c r="Y95" i="1"/>
  <c r="T94" i="1" l="1"/>
  <c r="F95" i="1"/>
  <c r="G95" i="1"/>
  <c r="I95" i="1" l="1"/>
  <c r="L95" i="1" l="1"/>
  <c r="D96" i="1" s="1"/>
  <c r="P95" i="1" s="1"/>
  <c r="X95" i="1" s="1"/>
  <c r="J95" i="1"/>
  <c r="B96" i="1" s="1"/>
  <c r="K95" i="1"/>
  <c r="C96" i="1" s="1"/>
  <c r="N95" i="1" s="1"/>
  <c r="U95" i="1" l="1"/>
  <c r="O95" i="1"/>
  <c r="AH95" i="1"/>
  <c r="M95" i="1"/>
  <c r="AG95" i="1" s="1"/>
  <c r="AI95" i="1"/>
  <c r="AB96" i="1"/>
  <c r="Q95" i="1" l="1"/>
  <c r="E96" i="1"/>
  <c r="H96" i="1"/>
  <c r="AA96" i="1"/>
  <c r="AJ96" i="1" s="1"/>
  <c r="Z96" i="1"/>
  <c r="Y96" i="1"/>
  <c r="T95" i="1" l="1"/>
  <c r="F96" i="1"/>
  <c r="G96" i="1"/>
  <c r="I96" i="1" l="1"/>
  <c r="L96" i="1" l="1"/>
  <c r="D97" i="1" s="1"/>
  <c r="P96" i="1" s="1"/>
  <c r="X96" i="1" s="1"/>
  <c r="J96" i="1"/>
  <c r="B97" i="1" s="1"/>
  <c r="K96" i="1"/>
  <c r="C97" i="1" s="1"/>
  <c r="N96" i="1" s="1"/>
  <c r="U96" i="1" l="1"/>
  <c r="O96" i="1"/>
  <c r="AH96" i="1"/>
  <c r="M96" i="1"/>
  <c r="AG96" i="1" s="1"/>
  <c r="AI96" i="1"/>
  <c r="AB97" i="1"/>
  <c r="Q96" i="1" l="1"/>
  <c r="E97" i="1"/>
  <c r="H97" i="1"/>
  <c r="AA97" i="1"/>
  <c r="AJ97" i="1" s="1"/>
  <c r="Z97" i="1"/>
  <c r="Y97" i="1"/>
  <c r="T96" i="1" l="1"/>
  <c r="F97" i="1"/>
  <c r="G97" i="1"/>
  <c r="I97" i="1" l="1"/>
  <c r="L97" i="1" l="1"/>
  <c r="D98" i="1" s="1"/>
  <c r="P97" i="1" s="1"/>
  <c r="X97" i="1" s="1"/>
  <c r="J97" i="1"/>
  <c r="B98" i="1" s="1"/>
  <c r="K97" i="1"/>
  <c r="C98" i="1" s="1"/>
  <c r="N97" i="1" s="1"/>
  <c r="U97" i="1" l="1"/>
  <c r="O97" i="1"/>
  <c r="AH97" i="1"/>
  <c r="M97" i="1"/>
  <c r="AG97" i="1" s="1"/>
  <c r="AI97" i="1"/>
  <c r="AB98" i="1"/>
  <c r="Q97" i="1" l="1"/>
  <c r="E98" i="1"/>
  <c r="H98" i="1"/>
  <c r="AA98" i="1"/>
  <c r="AJ98" i="1" s="1"/>
  <c r="Z98" i="1"/>
  <c r="Y98" i="1"/>
  <c r="T97" i="1" l="1"/>
  <c r="F98" i="1"/>
  <c r="G98" i="1"/>
  <c r="I98" i="1" l="1"/>
  <c r="L98" i="1" l="1"/>
  <c r="D99" i="1" s="1"/>
  <c r="P98" i="1" s="1"/>
  <c r="X98" i="1" s="1"/>
  <c r="J98" i="1"/>
  <c r="B99" i="1" s="1"/>
  <c r="K98" i="1"/>
  <c r="C99" i="1" s="1"/>
  <c r="N98" i="1" s="1"/>
  <c r="U98" i="1" l="1"/>
  <c r="O98" i="1"/>
  <c r="AH98" i="1"/>
  <c r="M98" i="1"/>
  <c r="AG98" i="1" s="1"/>
  <c r="AI98" i="1"/>
  <c r="AB99" i="1"/>
  <c r="Q98" i="1" l="1"/>
  <c r="E99" i="1"/>
  <c r="H99" i="1"/>
  <c r="AA99" i="1"/>
  <c r="AJ99" i="1" s="1"/>
  <c r="Z99" i="1"/>
  <c r="Y99" i="1"/>
  <c r="T98" i="1" l="1"/>
  <c r="F99" i="1"/>
  <c r="G99" i="1"/>
  <c r="I99" i="1" l="1"/>
  <c r="L99" i="1" l="1"/>
  <c r="D100" i="1" s="1"/>
  <c r="P99" i="1" s="1"/>
  <c r="X99" i="1" s="1"/>
  <c r="J99" i="1"/>
  <c r="B100" i="1" s="1"/>
  <c r="K99" i="1"/>
  <c r="C100" i="1" s="1"/>
  <c r="N99" i="1" s="1"/>
  <c r="U99" i="1" l="1"/>
  <c r="O99" i="1"/>
  <c r="AH99" i="1"/>
  <c r="M99" i="1"/>
  <c r="AG99" i="1" s="1"/>
  <c r="AI99" i="1"/>
  <c r="AB100" i="1"/>
  <c r="Q99" i="1" l="1"/>
  <c r="E100" i="1"/>
  <c r="H100" i="1"/>
  <c r="AA100" i="1"/>
  <c r="AJ100" i="1" s="1"/>
  <c r="Z100" i="1"/>
  <c r="Y100" i="1"/>
  <c r="T99" i="1" l="1"/>
  <c r="F100" i="1"/>
  <c r="G100" i="1"/>
  <c r="I100" i="1" l="1"/>
  <c r="L100" i="1" l="1"/>
  <c r="D101" i="1" s="1"/>
  <c r="P100" i="1" s="1"/>
  <c r="X100" i="1" s="1"/>
  <c r="J100" i="1"/>
  <c r="B101" i="1" s="1"/>
  <c r="K100" i="1"/>
  <c r="C101" i="1" s="1"/>
  <c r="N100" i="1" s="1"/>
  <c r="U100" i="1" l="1"/>
  <c r="O100" i="1"/>
  <c r="AH100" i="1"/>
  <c r="M100" i="1"/>
  <c r="AG100" i="1" s="1"/>
  <c r="AI100" i="1"/>
  <c r="AB101" i="1"/>
  <c r="Q100" i="1" l="1"/>
  <c r="E101" i="1"/>
  <c r="H101" i="1"/>
  <c r="AA101" i="1"/>
  <c r="AJ101" i="1" s="1"/>
  <c r="Z101" i="1"/>
  <c r="Y101" i="1"/>
  <c r="T100" i="1" l="1"/>
  <c r="F101" i="1"/>
  <c r="G101" i="1"/>
  <c r="I101" i="1" l="1"/>
  <c r="L101" i="1" l="1"/>
  <c r="D102" i="1" s="1"/>
  <c r="P101" i="1" s="1"/>
  <c r="X101" i="1" s="1"/>
  <c r="J101" i="1"/>
  <c r="B102" i="1" s="1"/>
  <c r="K101" i="1"/>
  <c r="C102" i="1" s="1"/>
  <c r="N101" i="1" s="1"/>
  <c r="U101" i="1" l="1"/>
  <c r="O101" i="1"/>
  <c r="AH101" i="1"/>
  <c r="M101" i="1"/>
  <c r="AG101" i="1" s="1"/>
  <c r="AI101" i="1"/>
  <c r="AB102" i="1"/>
  <c r="Q101" i="1" l="1"/>
  <c r="E102" i="1"/>
  <c r="H102" i="1"/>
  <c r="AA102" i="1"/>
  <c r="AJ102" i="1" s="1"/>
  <c r="Z102" i="1"/>
  <c r="Y102" i="1"/>
  <c r="T101" i="1" l="1"/>
  <c r="F102" i="1"/>
  <c r="G102" i="1"/>
  <c r="I102" i="1" l="1"/>
  <c r="L102" i="1" l="1"/>
  <c r="D103" i="1" s="1"/>
  <c r="P102" i="1" s="1"/>
  <c r="X102" i="1" s="1"/>
  <c r="J102" i="1"/>
  <c r="B103" i="1" s="1"/>
  <c r="K102" i="1"/>
  <c r="C103" i="1" s="1"/>
  <c r="N102" i="1" s="1"/>
  <c r="U102" i="1" l="1"/>
  <c r="O102" i="1"/>
  <c r="AH102" i="1"/>
  <c r="M102" i="1"/>
  <c r="AG102" i="1" s="1"/>
  <c r="AI102" i="1"/>
  <c r="AB103" i="1"/>
  <c r="Q102" i="1" l="1"/>
  <c r="T102" i="1" s="1"/>
  <c r="E103" i="1"/>
  <c r="H103" i="1"/>
  <c r="AA103" i="1"/>
  <c r="AJ103" i="1" s="1"/>
  <c r="Z103" i="1"/>
  <c r="Y103" i="1"/>
  <c r="F103" i="1" l="1"/>
  <c r="G103" i="1"/>
  <c r="I103" i="1" l="1"/>
  <c r="L103" i="1" l="1"/>
  <c r="D104" i="1" s="1"/>
  <c r="P103" i="1" s="1"/>
  <c r="X103" i="1" s="1"/>
  <c r="J103" i="1"/>
  <c r="B104" i="1" s="1"/>
  <c r="K103" i="1"/>
  <c r="C104" i="1" s="1"/>
  <c r="N103" i="1" s="1"/>
  <c r="U103" i="1" l="1"/>
  <c r="O103" i="1"/>
  <c r="AH103" i="1"/>
  <c r="M103" i="1"/>
  <c r="AG103" i="1" s="1"/>
  <c r="AI103" i="1"/>
  <c r="AB104" i="1"/>
  <c r="Q103" i="1" l="1"/>
  <c r="T103" i="1" s="1"/>
  <c r="E104" i="1"/>
  <c r="H104" i="1"/>
  <c r="AA104" i="1"/>
  <c r="AJ104" i="1" s="1"/>
  <c r="Z104" i="1"/>
  <c r="Y104" i="1"/>
  <c r="F104" i="1" l="1"/>
  <c r="G104" i="1"/>
  <c r="I104" i="1" l="1"/>
  <c r="L104" i="1" l="1"/>
  <c r="D105" i="1" s="1"/>
  <c r="P104" i="1" s="1"/>
  <c r="X104" i="1" s="1"/>
  <c r="J104" i="1"/>
  <c r="B105" i="1" s="1"/>
  <c r="K104" i="1"/>
  <c r="C105" i="1" s="1"/>
  <c r="N104" i="1" s="1"/>
  <c r="U104" i="1" l="1"/>
  <c r="O104" i="1"/>
  <c r="AH104" i="1"/>
  <c r="M104" i="1"/>
  <c r="AG104" i="1" s="1"/>
  <c r="AI104" i="1"/>
  <c r="AB105" i="1"/>
  <c r="Q104" i="1" l="1"/>
  <c r="T104" i="1" s="1"/>
  <c r="E105" i="1"/>
  <c r="H105" i="1"/>
  <c r="AA105" i="1"/>
  <c r="AJ105" i="1" s="1"/>
  <c r="Z105" i="1"/>
  <c r="Y105" i="1"/>
  <c r="F105" i="1" l="1"/>
  <c r="G105" i="1"/>
  <c r="I105" i="1" l="1"/>
  <c r="L105" i="1" l="1"/>
  <c r="D106" i="1" s="1"/>
  <c r="P105" i="1" s="1"/>
  <c r="X105" i="1" s="1"/>
  <c r="J105" i="1"/>
  <c r="B106" i="1" s="1"/>
  <c r="K105" i="1"/>
  <c r="C106" i="1" s="1"/>
  <c r="N105" i="1" s="1"/>
  <c r="U105" i="1" l="1"/>
  <c r="O105" i="1"/>
  <c r="AH105" i="1"/>
  <c r="M105" i="1"/>
  <c r="AG105" i="1" s="1"/>
  <c r="AI105" i="1"/>
  <c r="AB106" i="1"/>
  <c r="Q105" i="1" l="1"/>
  <c r="T105" i="1" s="1"/>
  <c r="E106" i="1"/>
  <c r="H106" i="1"/>
  <c r="AA106" i="1"/>
  <c r="AJ106" i="1" s="1"/>
  <c r="Z106" i="1"/>
  <c r="Y106" i="1"/>
  <c r="F106" i="1" l="1"/>
  <c r="G106" i="1"/>
  <c r="I106" i="1" l="1"/>
  <c r="L106" i="1" l="1"/>
  <c r="D107" i="1" s="1"/>
  <c r="P106" i="1" s="1"/>
  <c r="X106" i="1" s="1"/>
  <c r="J106" i="1"/>
  <c r="B107" i="1" s="1"/>
  <c r="K106" i="1"/>
  <c r="C107" i="1" s="1"/>
  <c r="N106" i="1" s="1"/>
  <c r="U106" i="1" l="1"/>
  <c r="O106" i="1"/>
  <c r="AH106" i="1"/>
  <c r="M106" i="1"/>
  <c r="AG106" i="1" s="1"/>
  <c r="AI106" i="1"/>
  <c r="AB107" i="1"/>
  <c r="Q106" i="1" l="1"/>
  <c r="T106" i="1" s="1"/>
  <c r="E107" i="1"/>
  <c r="H107" i="1"/>
  <c r="AA107" i="1"/>
  <c r="AJ107" i="1" s="1"/>
  <c r="Z107" i="1"/>
  <c r="Y107" i="1"/>
  <c r="F107" i="1" l="1"/>
  <c r="G107" i="1"/>
  <c r="I107" i="1" l="1"/>
  <c r="L107" i="1" l="1"/>
  <c r="D108" i="1" s="1"/>
  <c r="P107" i="1" s="1"/>
  <c r="X107" i="1" s="1"/>
  <c r="J107" i="1"/>
  <c r="B108" i="1" s="1"/>
  <c r="K107" i="1"/>
  <c r="C108" i="1" s="1"/>
  <c r="N107" i="1" s="1"/>
  <c r="U107" i="1" l="1"/>
  <c r="O107" i="1"/>
  <c r="AH107" i="1"/>
  <c r="M107" i="1"/>
  <c r="AG107" i="1" s="1"/>
  <c r="AI107" i="1"/>
  <c r="AB108" i="1"/>
  <c r="Q107" i="1" l="1"/>
  <c r="T107" i="1" s="1"/>
  <c r="E108" i="1"/>
  <c r="H108" i="1"/>
  <c r="AA108" i="1"/>
  <c r="AJ108" i="1" s="1"/>
  <c r="Z108" i="1"/>
  <c r="Y108" i="1"/>
  <c r="F108" i="1" l="1"/>
  <c r="G108" i="1"/>
  <c r="I108" i="1" l="1"/>
  <c r="L108" i="1" l="1"/>
  <c r="D109" i="1" s="1"/>
  <c r="P108" i="1" s="1"/>
  <c r="X108" i="1" s="1"/>
  <c r="J108" i="1"/>
  <c r="B109" i="1" s="1"/>
  <c r="K108" i="1"/>
  <c r="C109" i="1" s="1"/>
  <c r="N108" i="1" s="1"/>
  <c r="U108" i="1" l="1"/>
  <c r="O108" i="1"/>
  <c r="AH108" i="1"/>
  <c r="M108" i="1"/>
  <c r="AG108" i="1" s="1"/>
  <c r="AI108" i="1"/>
  <c r="AB109" i="1"/>
  <c r="Q108" i="1" l="1"/>
  <c r="T108" i="1" s="1"/>
  <c r="E109" i="1"/>
  <c r="H109" i="1"/>
  <c r="AA109" i="1"/>
  <c r="AJ109" i="1" s="1"/>
  <c r="Z109" i="1"/>
  <c r="Y109" i="1"/>
  <c r="F109" i="1" l="1"/>
  <c r="G109" i="1"/>
  <c r="I109" i="1" l="1"/>
  <c r="L109" i="1" l="1"/>
  <c r="D110" i="1" s="1"/>
  <c r="P109" i="1" s="1"/>
  <c r="X109" i="1" s="1"/>
  <c r="J109" i="1"/>
  <c r="B110" i="1" s="1"/>
  <c r="K109" i="1"/>
  <c r="C110" i="1" s="1"/>
  <c r="N109" i="1" s="1"/>
  <c r="U109" i="1" l="1"/>
  <c r="O109" i="1"/>
  <c r="AH109" i="1"/>
  <c r="M109" i="1"/>
  <c r="AG109" i="1" s="1"/>
  <c r="AI109" i="1"/>
  <c r="AB110" i="1"/>
  <c r="Q109" i="1" l="1"/>
  <c r="T109" i="1" s="1"/>
  <c r="E110" i="1"/>
  <c r="H110" i="1"/>
  <c r="AA110" i="1"/>
  <c r="AJ110" i="1" s="1"/>
  <c r="Z110" i="1"/>
  <c r="Y110" i="1"/>
  <c r="F110" i="1" l="1"/>
  <c r="G110" i="1"/>
  <c r="I110" i="1" l="1"/>
  <c r="L110" i="1" l="1"/>
  <c r="D111" i="1" s="1"/>
  <c r="P110" i="1" s="1"/>
  <c r="X110" i="1" s="1"/>
  <c r="J110" i="1"/>
  <c r="B111" i="1" s="1"/>
  <c r="K110" i="1"/>
  <c r="C111" i="1" s="1"/>
  <c r="N110" i="1" s="1"/>
  <c r="U110" i="1" l="1"/>
  <c r="O110" i="1"/>
  <c r="AH110" i="1"/>
  <c r="M110" i="1"/>
  <c r="AG110" i="1" s="1"/>
  <c r="AI110" i="1"/>
  <c r="AB111" i="1"/>
  <c r="Q110" i="1" l="1"/>
  <c r="T110" i="1" s="1"/>
  <c r="E111" i="1"/>
  <c r="H111" i="1"/>
  <c r="AA111" i="1"/>
  <c r="AJ111" i="1" s="1"/>
  <c r="Z111" i="1"/>
  <c r="Y111" i="1"/>
  <c r="F111" i="1" l="1"/>
  <c r="G111" i="1"/>
  <c r="I111" i="1" l="1"/>
  <c r="L111" i="1" l="1"/>
  <c r="D112" i="1" s="1"/>
  <c r="P111" i="1" s="1"/>
  <c r="X111" i="1" s="1"/>
  <c r="J111" i="1"/>
  <c r="B112" i="1" s="1"/>
  <c r="K111" i="1"/>
  <c r="C112" i="1" s="1"/>
  <c r="N111" i="1" s="1"/>
  <c r="U111" i="1" l="1"/>
  <c r="O111" i="1"/>
  <c r="AH111" i="1"/>
  <c r="M111" i="1"/>
  <c r="AG111" i="1" s="1"/>
  <c r="AI111" i="1"/>
  <c r="AB112" i="1"/>
  <c r="Q111" i="1" l="1"/>
  <c r="T111" i="1" s="1"/>
  <c r="E112" i="1"/>
  <c r="H112" i="1"/>
  <c r="AA112" i="1"/>
  <c r="AJ112" i="1" s="1"/>
  <c r="Z112" i="1"/>
  <c r="Y112" i="1"/>
  <c r="F112" i="1" l="1"/>
  <c r="G112" i="1"/>
  <c r="I112" i="1" l="1"/>
  <c r="L112" i="1" l="1"/>
  <c r="D113" i="1" s="1"/>
  <c r="P112" i="1" s="1"/>
  <c r="X112" i="1" s="1"/>
  <c r="J112" i="1"/>
  <c r="B113" i="1" s="1"/>
  <c r="K112" i="1"/>
  <c r="C113" i="1" s="1"/>
  <c r="N112" i="1" s="1"/>
  <c r="U112" i="1" l="1"/>
  <c r="O112" i="1"/>
  <c r="AH112" i="1"/>
  <c r="M112" i="1"/>
  <c r="AG112" i="1" s="1"/>
  <c r="AI112" i="1"/>
  <c r="AB113" i="1"/>
  <c r="Q112" i="1" l="1"/>
  <c r="T112" i="1" s="1"/>
  <c r="E113" i="1"/>
  <c r="H113" i="1"/>
  <c r="AA113" i="1"/>
  <c r="AJ113" i="1" s="1"/>
  <c r="Z113" i="1"/>
  <c r="Y113" i="1"/>
  <c r="F113" i="1" l="1"/>
  <c r="G113" i="1"/>
  <c r="I113" i="1" l="1"/>
  <c r="L113" i="1" l="1"/>
  <c r="D114" i="1" s="1"/>
  <c r="P113" i="1" s="1"/>
  <c r="X113" i="1" s="1"/>
  <c r="J113" i="1"/>
  <c r="B114" i="1" s="1"/>
  <c r="K113" i="1"/>
  <c r="C114" i="1" s="1"/>
  <c r="N113" i="1" s="1"/>
  <c r="U113" i="1" l="1"/>
  <c r="O113" i="1"/>
  <c r="AH113" i="1"/>
  <c r="M113" i="1"/>
  <c r="AG113" i="1" s="1"/>
  <c r="AI113" i="1"/>
  <c r="AB114" i="1"/>
  <c r="Q113" i="1" l="1"/>
  <c r="T113" i="1" s="1"/>
  <c r="E114" i="1"/>
  <c r="H114" i="1"/>
  <c r="AA114" i="1"/>
  <c r="AJ114" i="1" s="1"/>
  <c r="Z114" i="1"/>
  <c r="Y114" i="1"/>
  <c r="F114" i="1" l="1"/>
  <c r="G114" i="1"/>
  <c r="I114" i="1" l="1"/>
  <c r="L114" i="1" l="1"/>
  <c r="D115" i="1" s="1"/>
  <c r="P114" i="1" s="1"/>
  <c r="X114" i="1" s="1"/>
  <c r="J114" i="1"/>
  <c r="B115" i="1" s="1"/>
  <c r="K114" i="1"/>
  <c r="C115" i="1" s="1"/>
  <c r="N114" i="1" s="1"/>
  <c r="U114" i="1" l="1"/>
  <c r="O114" i="1"/>
  <c r="AH114" i="1"/>
  <c r="M114" i="1"/>
  <c r="AG114" i="1" s="1"/>
  <c r="AI114" i="1"/>
  <c r="AB115" i="1"/>
  <c r="Q114" i="1" l="1"/>
  <c r="T114" i="1" s="1"/>
  <c r="E115" i="1"/>
  <c r="H115" i="1"/>
  <c r="AA115" i="1"/>
  <c r="AJ115" i="1" s="1"/>
  <c r="Z115" i="1"/>
  <c r="Y115" i="1"/>
  <c r="F115" i="1" l="1"/>
  <c r="G115" i="1"/>
  <c r="I115" i="1" l="1"/>
  <c r="L115" i="1" l="1"/>
  <c r="D116" i="1" s="1"/>
  <c r="P115" i="1" s="1"/>
  <c r="X115" i="1" s="1"/>
  <c r="J115" i="1"/>
  <c r="B116" i="1" s="1"/>
  <c r="K115" i="1"/>
  <c r="C116" i="1" s="1"/>
  <c r="N115" i="1" s="1"/>
  <c r="U115" i="1" l="1"/>
  <c r="O115" i="1"/>
  <c r="AH115" i="1"/>
  <c r="M115" i="1"/>
  <c r="AG115" i="1" s="1"/>
  <c r="AI115" i="1"/>
  <c r="AB116" i="1"/>
  <c r="Q115" i="1" l="1"/>
  <c r="T115" i="1" s="1"/>
  <c r="E116" i="1"/>
  <c r="H116" i="1"/>
  <c r="AA116" i="1"/>
  <c r="AJ116" i="1" s="1"/>
  <c r="Z116" i="1"/>
  <c r="Y116" i="1"/>
  <c r="F116" i="1" l="1"/>
  <c r="G116" i="1"/>
  <c r="I116" i="1" l="1"/>
  <c r="L116" i="1" l="1"/>
  <c r="D117" i="1" s="1"/>
  <c r="P116" i="1" s="1"/>
  <c r="X116" i="1" s="1"/>
  <c r="J116" i="1"/>
  <c r="B117" i="1" s="1"/>
  <c r="K116" i="1"/>
  <c r="C117" i="1" s="1"/>
  <c r="N116" i="1" s="1"/>
  <c r="U116" i="1" l="1"/>
  <c r="O116" i="1"/>
  <c r="AH116" i="1"/>
  <c r="M116" i="1"/>
  <c r="AG116" i="1" s="1"/>
  <c r="AI116" i="1"/>
  <c r="AB117" i="1"/>
  <c r="Q116" i="1" l="1"/>
  <c r="T116" i="1" s="1"/>
  <c r="E117" i="1"/>
  <c r="H117" i="1"/>
  <c r="AA117" i="1"/>
  <c r="AJ117" i="1" s="1"/>
  <c r="Z117" i="1"/>
  <c r="Y117" i="1"/>
  <c r="F117" i="1" l="1"/>
  <c r="G117" i="1"/>
  <c r="I117" i="1" l="1"/>
  <c r="L117" i="1" l="1"/>
  <c r="D118" i="1" s="1"/>
  <c r="P117" i="1" s="1"/>
  <c r="X117" i="1" s="1"/>
  <c r="J117" i="1"/>
  <c r="B118" i="1" s="1"/>
  <c r="K117" i="1"/>
  <c r="C118" i="1" s="1"/>
  <c r="N117" i="1" s="1"/>
  <c r="U117" i="1" l="1"/>
  <c r="O117" i="1"/>
  <c r="AH117" i="1"/>
  <c r="M117" i="1"/>
  <c r="AG117" i="1" s="1"/>
  <c r="AI117" i="1"/>
  <c r="AB118" i="1"/>
  <c r="Q117" i="1" l="1"/>
  <c r="T117" i="1" s="1"/>
  <c r="E118" i="1"/>
  <c r="H118" i="1"/>
  <c r="AA118" i="1"/>
  <c r="AJ118" i="1" s="1"/>
  <c r="Z118" i="1"/>
  <c r="Y118" i="1"/>
  <c r="F118" i="1" l="1"/>
  <c r="G118" i="1"/>
  <c r="I118" i="1" l="1"/>
  <c r="L118" i="1" l="1"/>
  <c r="D119" i="1" s="1"/>
  <c r="P118" i="1" s="1"/>
  <c r="X118" i="1" s="1"/>
  <c r="J118" i="1"/>
  <c r="B119" i="1" s="1"/>
  <c r="K118" i="1"/>
  <c r="C119" i="1" s="1"/>
  <c r="N118" i="1" s="1"/>
  <c r="U118" i="1" l="1"/>
  <c r="O118" i="1"/>
  <c r="AH118" i="1"/>
  <c r="M118" i="1"/>
  <c r="AG118" i="1" s="1"/>
  <c r="AI118" i="1"/>
  <c r="AB119" i="1"/>
  <c r="Q118" i="1" l="1"/>
  <c r="T118" i="1" s="1"/>
  <c r="E119" i="1"/>
  <c r="H119" i="1"/>
  <c r="AA119" i="1"/>
  <c r="AJ119" i="1" s="1"/>
  <c r="Z119" i="1"/>
  <c r="Y119" i="1"/>
  <c r="F119" i="1" l="1"/>
  <c r="G119" i="1"/>
  <c r="I119" i="1" l="1"/>
  <c r="L119" i="1" l="1"/>
  <c r="D120" i="1" s="1"/>
  <c r="P119" i="1" s="1"/>
  <c r="X119" i="1" s="1"/>
  <c r="J119" i="1"/>
  <c r="B120" i="1" s="1"/>
  <c r="K119" i="1"/>
  <c r="C120" i="1" s="1"/>
  <c r="N119" i="1" s="1"/>
  <c r="U119" i="1" l="1"/>
  <c r="O119" i="1"/>
  <c r="AH119" i="1"/>
  <c r="M119" i="1"/>
  <c r="AG119" i="1" s="1"/>
  <c r="AI119" i="1"/>
  <c r="AB120" i="1"/>
  <c r="Q119" i="1" l="1"/>
  <c r="T119" i="1" s="1"/>
  <c r="E120" i="1"/>
  <c r="H120" i="1"/>
  <c r="AA120" i="1"/>
  <c r="AJ120" i="1" s="1"/>
  <c r="Z120" i="1"/>
  <c r="Y120" i="1"/>
  <c r="F120" i="1" l="1"/>
  <c r="G120" i="1"/>
  <c r="I120" i="1" l="1"/>
  <c r="L120" i="1" l="1"/>
  <c r="D121" i="1" s="1"/>
  <c r="P120" i="1" s="1"/>
  <c r="X120" i="1" s="1"/>
  <c r="J120" i="1"/>
  <c r="B121" i="1" s="1"/>
  <c r="K120" i="1"/>
  <c r="C121" i="1" s="1"/>
  <c r="N120" i="1" s="1"/>
  <c r="U120" i="1" l="1"/>
  <c r="O120" i="1"/>
  <c r="AH120" i="1"/>
  <c r="M120" i="1"/>
  <c r="AG120" i="1" s="1"/>
  <c r="AI120" i="1"/>
  <c r="AB121" i="1"/>
  <c r="Q120" i="1" l="1"/>
  <c r="T120" i="1" s="1"/>
  <c r="E121" i="1"/>
  <c r="H121" i="1"/>
  <c r="AA121" i="1"/>
  <c r="AJ121" i="1" s="1"/>
  <c r="Z121" i="1"/>
  <c r="Y121" i="1"/>
  <c r="F121" i="1" l="1"/>
  <c r="G121" i="1"/>
  <c r="I121" i="1" l="1"/>
  <c r="L121" i="1" l="1"/>
  <c r="D122" i="1" s="1"/>
  <c r="P121" i="1" s="1"/>
  <c r="X121" i="1" s="1"/>
  <c r="J121" i="1"/>
  <c r="B122" i="1" s="1"/>
  <c r="K121" i="1"/>
  <c r="C122" i="1" s="1"/>
  <c r="N121" i="1" s="1"/>
  <c r="U121" i="1" l="1"/>
  <c r="O121" i="1"/>
  <c r="AH121" i="1"/>
  <c r="M121" i="1"/>
  <c r="AG121" i="1" s="1"/>
  <c r="AI121" i="1"/>
  <c r="AB122" i="1"/>
  <c r="Q121" i="1" l="1"/>
  <c r="T121" i="1" s="1"/>
  <c r="E122" i="1"/>
  <c r="H122" i="1"/>
  <c r="AA122" i="1"/>
  <c r="AJ122" i="1" s="1"/>
  <c r="Z122" i="1"/>
  <c r="Y122" i="1"/>
  <c r="F122" i="1" l="1"/>
  <c r="G122" i="1"/>
  <c r="I122" i="1" l="1"/>
  <c r="L122" i="1" l="1"/>
  <c r="D123" i="1" s="1"/>
  <c r="P122" i="1" s="1"/>
  <c r="X122" i="1" s="1"/>
  <c r="J122" i="1"/>
  <c r="B123" i="1" s="1"/>
  <c r="K122" i="1"/>
  <c r="C123" i="1" s="1"/>
  <c r="N122" i="1" s="1"/>
  <c r="U122" i="1" l="1"/>
  <c r="O122" i="1"/>
  <c r="AH122" i="1"/>
  <c r="M122" i="1"/>
  <c r="AG122" i="1" s="1"/>
  <c r="AI122" i="1"/>
  <c r="AB123" i="1"/>
  <c r="Q122" i="1" l="1"/>
  <c r="T122" i="1" s="1"/>
  <c r="E123" i="1"/>
  <c r="H123" i="1"/>
  <c r="AA123" i="1"/>
  <c r="AJ123" i="1" s="1"/>
  <c r="Z123" i="1"/>
  <c r="Y123" i="1"/>
  <c r="F123" i="1" l="1"/>
  <c r="G123" i="1"/>
  <c r="I123" i="1" l="1"/>
  <c r="L123" i="1" l="1"/>
  <c r="D124" i="1" s="1"/>
  <c r="P123" i="1" s="1"/>
  <c r="X123" i="1" s="1"/>
  <c r="J123" i="1"/>
  <c r="B124" i="1" s="1"/>
  <c r="K123" i="1"/>
  <c r="C124" i="1" s="1"/>
  <c r="N123" i="1" s="1"/>
  <c r="U123" i="1" l="1"/>
  <c r="O123" i="1"/>
  <c r="AH123" i="1"/>
  <c r="M123" i="1"/>
  <c r="AG123" i="1" s="1"/>
  <c r="AI123" i="1"/>
  <c r="AB124" i="1"/>
  <c r="Q123" i="1" l="1"/>
  <c r="T123" i="1" s="1"/>
  <c r="E124" i="1"/>
  <c r="H124" i="1"/>
  <c r="AA124" i="1"/>
  <c r="AJ124" i="1" s="1"/>
  <c r="Z124" i="1"/>
  <c r="Y124" i="1"/>
  <c r="F124" i="1" l="1"/>
  <c r="G124" i="1"/>
  <c r="I124" i="1" l="1"/>
  <c r="L124" i="1" l="1"/>
  <c r="D125" i="1" s="1"/>
  <c r="P124" i="1" s="1"/>
  <c r="X124" i="1" s="1"/>
  <c r="J124" i="1"/>
  <c r="B125" i="1" s="1"/>
  <c r="K124" i="1"/>
  <c r="C125" i="1" s="1"/>
  <c r="N124" i="1" s="1"/>
  <c r="U124" i="1" l="1"/>
  <c r="O124" i="1"/>
  <c r="AH124" i="1"/>
  <c r="M124" i="1"/>
  <c r="AG124" i="1" s="1"/>
  <c r="AI124" i="1"/>
  <c r="AB125" i="1"/>
  <c r="Q124" i="1" l="1"/>
  <c r="T124" i="1" s="1"/>
  <c r="E125" i="1"/>
  <c r="H125" i="1"/>
  <c r="AA125" i="1"/>
  <c r="AJ125" i="1" s="1"/>
  <c r="Z125" i="1"/>
  <c r="Y125" i="1"/>
  <c r="F125" i="1" l="1"/>
  <c r="G125" i="1"/>
  <c r="I125" i="1" l="1"/>
  <c r="L125" i="1" l="1"/>
  <c r="D126" i="1" s="1"/>
  <c r="P125" i="1" s="1"/>
  <c r="X125" i="1" s="1"/>
  <c r="J125" i="1"/>
  <c r="B126" i="1" s="1"/>
  <c r="K125" i="1"/>
  <c r="C126" i="1" s="1"/>
  <c r="N125" i="1" s="1"/>
  <c r="U125" i="1" l="1"/>
  <c r="O125" i="1"/>
  <c r="AH125" i="1"/>
  <c r="M125" i="1"/>
  <c r="AG125" i="1" s="1"/>
  <c r="AI125" i="1"/>
  <c r="AB126" i="1"/>
  <c r="Q125" i="1" l="1"/>
  <c r="T125" i="1" s="1"/>
  <c r="E126" i="1"/>
  <c r="H126" i="1"/>
  <c r="AA126" i="1"/>
  <c r="AJ126" i="1" s="1"/>
  <c r="Z126" i="1"/>
  <c r="Y126" i="1"/>
  <c r="F126" i="1" l="1"/>
  <c r="G126" i="1"/>
  <c r="I126" i="1" l="1"/>
  <c r="L126" i="1" l="1"/>
  <c r="D127" i="1" s="1"/>
  <c r="P126" i="1" s="1"/>
  <c r="X126" i="1" s="1"/>
  <c r="J126" i="1"/>
  <c r="B127" i="1" s="1"/>
  <c r="K126" i="1"/>
  <c r="C127" i="1" s="1"/>
  <c r="N126" i="1" s="1"/>
  <c r="U126" i="1" l="1"/>
  <c r="O126" i="1"/>
  <c r="AH126" i="1"/>
  <c r="M126" i="1"/>
  <c r="AG126" i="1" s="1"/>
  <c r="AI126" i="1"/>
  <c r="AB127" i="1"/>
  <c r="Q126" i="1" l="1"/>
  <c r="T126" i="1" s="1"/>
  <c r="E127" i="1"/>
  <c r="H127" i="1"/>
  <c r="AA127" i="1"/>
  <c r="AJ127" i="1" s="1"/>
  <c r="Z127" i="1"/>
  <c r="Y127" i="1"/>
  <c r="F127" i="1" l="1"/>
  <c r="G127" i="1"/>
  <c r="I127" i="1" l="1"/>
  <c r="L127" i="1" l="1"/>
  <c r="D128" i="1" s="1"/>
  <c r="P127" i="1" s="1"/>
  <c r="X127" i="1" s="1"/>
  <c r="J127" i="1"/>
  <c r="B128" i="1" s="1"/>
  <c r="K127" i="1"/>
  <c r="C128" i="1" s="1"/>
  <c r="N127" i="1" s="1"/>
  <c r="AD127" i="1" s="1"/>
  <c r="U127" i="1" l="1"/>
  <c r="O127" i="1"/>
  <c r="AH127" i="1"/>
  <c r="M127" i="1"/>
  <c r="Q127" i="1" s="1"/>
  <c r="T127" i="1" s="1"/>
  <c r="AB128" i="1"/>
  <c r="AI127" i="1" l="1"/>
  <c r="AE127" i="1"/>
  <c r="AG127" i="1"/>
  <c r="AC127" i="1"/>
  <c r="E128" i="1"/>
  <c r="H128" i="1"/>
  <c r="AA128" i="1"/>
  <c r="AJ128" i="1" s="1"/>
  <c r="Z128" i="1"/>
  <c r="Y128" i="1"/>
  <c r="F128" i="1" l="1"/>
  <c r="G128" i="1"/>
  <c r="I128" i="1" l="1"/>
  <c r="L128" i="1" l="1"/>
  <c r="D129" i="1" s="1"/>
  <c r="J128" i="1"/>
  <c r="B129" i="1" s="1"/>
  <c r="K128" i="1"/>
  <c r="C129" i="1" s="1"/>
  <c r="N128" i="1" s="1"/>
  <c r="P128" i="1" l="1"/>
  <c r="X128" i="1" s="1"/>
  <c r="O128" i="1"/>
  <c r="AH128" i="1"/>
  <c r="M128" i="1"/>
  <c r="AG128" i="1" s="1"/>
  <c r="AB129" i="1"/>
  <c r="AI128" i="1" l="1"/>
  <c r="U128" i="1"/>
  <c r="Q128" i="1"/>
  <c r="T128" i="1" s="1"/>
  <c r="E129" i="1"/>
  <c r="H129" i="1"/>
  <c r="AA129" i="1"/>
  <c r="AJ129" i="1" s="1"/>
  <c r="Z129" i="1"/>
  <c r="Y129" i="1"/>
  <c r="F129" i="1" l="1"/>
  <c r="G129" i="1"/>
  <c r="I129" i="1" l="1"/>
  <c r="L129" i="1" l="1"/>
  <c r="D130" i="1" s="1"/>
  <c r="J129" i="1"/>
  <c r="B130" i="1" s="1"/>
  <c r="K129" i="1"/>
  <c r="C130" i="1" s="1"/>
  <c r="N129" i="1" s="1"/>
  <c r="P129" i="1" l="1"/>
  <c r="X129" i="1" s="1"/>
  <c r="O129" i="1"/>
  <c r="AH129" i="1"/>
  <c r="M129" i="1"/>
  <c r="AG129" i="1" s="1"/>
  <c r="AB130" i="1"/>
  <c r="AI129" i="1" l="1"/>
  <c r="U129" i="1"/>
  <c r="Q129" i="1"/>
  <c r="T129" i="1" s="1"/>
  <c r="E130" i="1"/>
  <c r="H130" i="1"/>
  <c r="AA130" i="1"/>
  <c r="AJ130" i="1" s="1"/>
  <c r="Z130" i="1"/>
  <c r="Y130" i="1"/>
  <c r="F130" i="1" l="1"/>
  <c r="G130" i="1"/>
  <c r="I130" i="1" l="1"/>
  <c r="L130" i="1" l="1"/>
  <c r="D131" i="1" s="1"/>
  <c r="P130" i="1" s="1"/>
  <c r="X130" i="1" s="1"/>
  <c r="J130" i="1"/>
  <c r="B131" i="1" s="1"/>
  <c r="K130" i="1"/>
  <c r="C131" i="1" s="1"/>
  <c r="N130" i="1" s="1"/>
  <c r="U130" i="1" l="1"/>
  <c r="O130" i="1"/>
  <c r="AH130" i="1"/>
  <c r="M130" i="1"/>
  <c r="AG130" i="1" s="1"/>
  <c r="AI130" i="1"/>
  <c r="AB131" i="1"/>
  <c r="Q130" i="1" l="1"/>
  <c r="T130" i="1" s="1"/>
  <c r="E131" i="1"/>
  <c r="H131" i="1"/>
  <c r="AA131" i="1"/>
  <c r="AJ131" i="1" s="1"/>
  <c r="Z131" i="1"/>
  <c r="Y131" i="1"/>
  <c r="F131" i="1" l="1"/>
  <c r="G131" i="1"/>
  <c r="I131" i="1" l="1"/>
  <c r="L131" i="1" l="1"/>
  <c r="D132" i="1" s="1"/>
  <c r="P131" i="1" s="1"/>
  <c r="X131" i="1" s="1"/>
  <c r="J131" i="1"/>
  <c r="B132" i="1" s="1"/>
  <c r="K131" i="1"/>
  <c r="C132" i="1" s="1"/>
  <c r="N131" i="1" s="1"/>
  <c r="U131" i="1" l="1"/>
  <c r="O131" i="1"/>
  <c r="AH131" i="1"/>
  <c r="M131" i="1"/>
  <c r="AG131" i="1" s="1"/>
  <c r="AI131" i="1"/>
  <c r="AB132" i="1"/>
  <c r="Q131" i="1" l="1"/>
  <c r="T131" i="1" s="1"/>
  <c r="E132" i="1"/>
  <c r="H132" i="1"/>
  <c r="AA132" i="1"/>
  <c r="AJ132" i="1" s="1"/>
  <c r="Z132" i="1"/>
  <c r="Y132" i="1"/>
  <c r="F132" i="1" l="1"/>
  <c r="G132" i="1"/>
  <c r="I132" i="1" l="1"/>
  <c r="L132" i="1" l="1"/>
  <c r="D133" i="1" s="1"/>
  <c r="P132" i="1" s="1"/>
  <c r="X132" i="1" s="1"/>
  <c r="J132" i="1"/>
  <c r="B133" i="1" s="1"/>
  <c r="K132" i="1"/>
  <c r="C133" i="1" s="1"/>
  <c r="N132" i="1" s="1"/>
  <c r="U132" i="1" l="1"/>
  <c r="O132" i="1"/>
  <c r="AH132" i="1"/>
  <c r="M132" i="1"/>
  <c r="AG132" i="1" s="1"/>
  <c r="AI132" i="1"/>
  <c r="AB133" i="1"/>
  <c r="Q132" i="1" l="1"/>
  <c r="T132" i="1" s="1"/>
  <c r="E133" i="1"/>
  <c r="H133" i="1"/>
  <c r="AA133" i="1"/>
  <c r="AJ133" i="1" s="1"/>
  <c r="Z133" i="1"/>
  <c r="Y133" i="1"/>
  <c r="F133" i="1" l="1"/>
  <c r="G133" i="1"/>
  <c r="I133" i="1" l="1"/>
  <c r="L133" i="1" l="1"/>
  <c r="D134" i="1" s="1"/>
  <c r="P133" i="1" s="1"/>
  <c r="X133" i="1" s="1"/>
  <c r="J133" i="1"/>
  <c r="B134" i="1" s="1"/>
  <c r="K133" i="1"/>
  <c r="C134" i="1" s="1"/>
  <c r="N133" i="1" s="1"/>
  <c r="U133" i="1" l="1"/>
  <c r="O133" i="1"/>
  <c r="AH133" i="1"/>
  <c r="M133" i="1"/>
  <c r="AG133" i="1" s="1"/>
  <c r="AI133" i="1"/>
  <c r="AB134" i="1"/>
  <c r="Q133" i="1" l="1"/>
  <c r="T133" i="1" s="1"/>
  <c r="E134" i="1"/>
  <c r="H134" i="1"/>
  <c r="AA134" i="1"/>
  <c r="AJ134" i="1" s="1"/>
  <c r="Z134" i="1"/>
  <c r="Y134" i="1"/>
  <c r="F134" i="1" l="1"/>
  <c r="G134" i="1"/>
  <c r="I134" i="1" l="1"/>
  <c r="L134" i="1" l="1"/>
  <c r="D135" i="1" s="1"/>
  <c r="P134" i="1" s="1"/>
  <c r="X134" i="1" s="1"/>
  <c r="J134" i="1"/>
  <c r="B135" i="1" s="1"/>
  <c r="K134" i="1"/>
  <c r="C135" i="1" s="1"/>
  <c r="N134" i="1" s="1"/>
  <c r="U134" i="1" l="1"/>
  <c r="O134" i="1"/>
  <c r="AH134" i="1"/>
  <c r="M134" i="1"/>
  <c r="AG134" i="1" s="1"/>
  <c r="AI134" i="1"/>
  <c r="AB135" i="1"/>
  <c r="Q134" i="1" l="1"/>
  <c r="T134" i="1" s="1"/>
  <c r="E135" i="1"/>
  <c r="H135" i="1"/>
  <c r="AA135" i="1"/>
  <c r="AJ135" i="1" s="1"/>
  <c r="Z135" i="1"/>
  <c r="Y135" i="1"/>
  <c r="F135" i="1" l="1"/>
  <c r="G135" i="1"/>
  <c r="I135" i="1" l="1"/>
  <c r="L135" i="1" l="1"/>
  <c r="D136" i="1" s="1"/>
  <c r="P135" i="1" s="1"/>
  <c r="X135" i="1" s="1"/>
  <c r="J135" i="1"/>
  <c r="B136" i="1" s="1"/>
  <c r="K135" i="1"/>
  <c r="C136" i="1" s="1"/>
  <c r="N135" i="1" s="1"/>
  <c r="U135" i="1" l="1"/>
  <c r="O135" i="1"/>
  <c r="AH135" i="1"/>
  <c r="M135" i="1"/>
  <c r="AG135" i="1" s="1"/>
  <c r="AI135" i="1"/>
  <c r="AB136" i="1"/>
  <c r="Q135" i="1" l="1"/>
  <c r="T135" i="1" s="1"/>
  <c r="E136" i="1"/>
  <c r="H136" i="1"/>
  <c r="AA136" i="1"/>
  <c r="AJ136" i="1" s="1"/>
  <c r="Z136" i="1"/>
  <c r="Y136" i="1"/>
  <c r="F136" i="1" l="1"/>
  <c r="G136" i="1"/>
  <c r="I136" i="1" l="1"/>
  <c r="L136" i="1" l="1"/>
  <c r="D137" i="1" s="1"/>
  <c r="P136" i="1" s="1"/>
  <c r="X136" i="1" s="1"/>
  <c r="J136" i="1"/>
  <c r="B137" i="1" s="1"/>
  <c r="K136" i="1"/>
  <c r="C137" i="1" s="1"/>
  <c r="N136" i="1" s="1"/>
  <c r="U136" i="1" l="1"/>
  <c r="O136" i="1"/>
  <c r="AH136" i="1"/>
  <c r="M136" i="1"/>
  <c r="AG136" i="1" s="1"/>
  <c r="AI136" i="1"/>
  <c r="AB137" i="1"/>
  <c r="Q136" i="1" l="1"/>
  <c r="T136" i="1" s="1"/>
  <c r="E137" i="1"/>
  <c r="H137" i="1"/>
  <c r="AA137" i="1"/>
  <c r="AJ137" i="1" s="1"/>
  <c r="Z137" i="1"/>
  <c r="Y137" i="1"/>
  <c r="F137" i="1" l="1"/>
  <c r="G137" i="1"/>
  <c r="I137" i="1" l="1"/>
  <c r="L137" i="1" l="1"/>
  <c r="D138" i="1" s="1"/>
  <c r="P137" i="1" s="1"/>
  <c r="X137" i="1" s="1"/>
  <c r="J137" i="1"/>
  <c r="B138" i="1" s="1"/>
  <c r="K137" i="1"/>
  <c r="C138" i="1" s="1"/>
  <c r="N137" i="1" s="1"/>
  <c r="U137" i="1" l="1"/>
  <c r="O137" i="1"/>
  <c r="AH137" i="1"/>
  <c r="M137" i="1"/>
  <c r="AG137" i="1" s="1"/>
  <c r="AI137" i="1"/>
  <c r="AB138" i="1"/>
  <c r="Q137" i="1" l="1"/>
  <c r="T137" i="1" s="1"/>
  <c r="E138" i="1"/>
  <c r="H138" i="1"/>
  <c r="AA138" i="1"/>
  <c r="AJ138" i="1" s="1"/>
  <c r="Z138" i="1"/>
  <c r="Y138" i="1"/>
  <c r="F138" i="1" l="1"/>
  <c r="G138" i="1"/>
  <c r="I138" i="1" l="1"/>
  <c r="L138" i="1" l="1"/>
  <c r="D139" i="1" s="1"/>
  <c r="P138" i="1" s="1"/>
  <c r="X138" i="1" s="1"/>
  <c r="J138" i="1"/>
  <c r="B139" i="1" s="1"/>
  <c r="K138" i="1"/>
  <c r="C139" i="1" s="1"/>
  <c r="N138" i="1" s="1"/>
  <c r="U138" i="1" l="1"/>
  <c r="O138" i="1"/>
  <c r="AH138" i="1"/>
  <c r="M138" i="1"/>
  <c r="AG138" i="1" s="1"/>
  <c r="AI138" i="1"/>
  <c r="AB139" i="1"/>
  <c r="Q138" i="1" l="1"/>
  <c r="T138" i="1" s="1"/>
  <c r="E139" i="1"/>
  <c r="H139" i="1"/>
  <c r="AA139" i="1"/>
  <c r="AJ139" i="1" s="1"/>
  <c r="Z139" i="1"/>
  <c r="Y139" i="1"/>
  <c r="F139" i="1" l="1"/>
  <c r="G139" i="1"/>
  <c r="I139" i="1" l="1"/>
  <c r="L139" i="1" l="1"/>
  <c r="D140" i="1" s="1"/>
  <c r="P139" i="1" s="1"/>
  <c r="X139" i="1" s="1"/>
  <c r="J139" i="1"/>
  <c r="B140" i="1" s="1"/>
  <c r="K139" i="1"/>
  <c r="C140" i="1" s="1"/>
  <c r="N139" i="1" s="1"/>
  <c r="U139" i="1" l="1"/>
  <c r="O139" i="1"/>
  <c r="AH139" i="1"/>
  <c r="M139" i="1"/>
  <c r="AG139" i="1" s="1"/>
  <c r="AI139" i="1"/>
  <c r="AB140" i="1"/>
  <c r="Q139" i="1" l="1"/>
  <c r="T139" i="1" s="1"/>
  <c r="E140" i="1"/>
  <c r="H140" i="1"/>
  <c r="AA140" i="1"/>
  <c r="AJ140" i="1" s="1"/>
  <c r="Z140" i="1"/>
  <c r="Y140" i="1"/>
  <c r="F140" i="1" l="1"/>
  <c r="G140" i="1"/>
  <c r="I140" i="1" l="1"/>
  <c r="L140" i="1" l="1"/>
  <c r="D141" i="1" s="1"/>
  <c r="P140" i="1" s="1"/>
  <c r="X140" i="1" s="1"/>
  <c r="J140" i="1"/>
  <c r="B141" i="1" s="1"/>
  <c r="K140" i="1"/>
  <c r="C141" i="1" s="1"/>
  <c r="N140" i="1" s="1"/>
  <c r="U140" i="1" l="1"/>
  <c r="O140" i="1"/>
  <c r="AH140" i="1"/>
  <c r="M140" i="1"/>
  <c r="AG140" i="1" s="1"/>
  <c r="AI140" i="1"/>
  <c r="AB141" i="1"/>
  <c r="Q140" i="1" l="1"/>
  <c r="T140" i="1" s="1"/>
  <c r="E141" i="1"/>
  <c r="H141" i="1"/>
  <c r="AA141" i="1"/>
  <c r="AJ141" i="1" s="1"/>
  <c r="Z141" i="1"/>
  <c r="Y141" i="1"/>
  <c r="F141" i="1" l="1"/>
  <c r="G141" i="1"/>
  <c r="I141" i="1" l="1"/>
  <c r="L141" i="1" l="1"/>
  <c r="D142" i="1" s="1"/>
  <c r="P141" i="1" s="1"/>
  <c r="X141" i="1" s="1"/>
  <c r="J141" i="1"/>
  <c r="B142" i="1" s="1"/>
  <c r="K141" i="1"/>
  <c r="C142" i="1" s="1"/>
  <c r="N141" i="1" s="1"/>
  <c r="U141" i="1" l="1"/>
  <c r="O141" i="1"/>
  <c r="AH141" i="1"/>
  <c r="M141" i="1"/>
  <c r="AG141" i="1" s="1"/>
  <c r="AI141" i="1"/>
  <c r="AB142" i="1"/>
  <c r="Q141" i="1" l="1"/>
  <c r="T141" i="1" s="1"/>
  <c r="E142" i="1"/>
  <c r="H142" i="1"/>
  <c r="AA142" i="1"/>
  <c r="AJ142" i="1" s="1"/>
  <c r="Z142" i="1"/>
  <c r="Y142" i="1"/>
  <c r="F142" i="1" l="1"/>
  <c r="G142" i="1"/>
  <c r="I142" i="1" l="1"/>
  <c r="L142" i="1" l="1"/>
  <c r="D143" i="1" s="1"/>
  <c r="P142" i="1" s="1"/>
  <c r="X142" i="1" s="1"/>
  <c r="J142" i="1"/>
  <c r="B143" i="1" s="1"/>
  <c r="K142" i="1"/>
  <c r="C143" i="1" s="1"/>
  <c r="N142" i="1" s="1"/>
  <c r="U142" i="1" l="1"/>
  <c r="O142" i="1"/>
  <c r="AH142" i="1"/>
  <c r="M142" i="1"/>
  <c r="AG142" i="1" s="1"/>
  <c r="AI142" i="1"/>
  <c r="AB143" i="1"/>
  <c r="Q142" i="1" l="1"/>
  <c r="T142" i="1" s="1"/>
  <c r="E143" i="1"/>
  <c r="H143" i="1"/>
  <c r="AA143" i="1"/>
  <c r="AJ143" i="1" s="1"/>
  <c r="Z143" i="1"/>
  <c r="Y143" i="1"/>
  <c r="F143" i="1" l="1"/>
  <c r="G143" i="1"/>
  <c r="I143" i="1" l="1"/>
  <c r="L143" i="1" l="1"/>
  <c r="D144" i="1" s="1"/>
  <c r="P143" i="1" s="1"/>
  <c r="X143" i="1" s="1"/>
  <c r="J143" i="1"/>
  <c r="B144" i="1" s="1"/>
  <c r="K143" i="1"/>
  <c r="C144" i="1" s="1"/>
  <c r="N143" i="1" s="1"/>
  <c r="U143" i="1" l="1"/>
  <c r="O143" i="1"/>
  <c r="AH143" i="1"/>
  <c r="M143" i="1"/>
  <c r="AG143" i="1" s="1"/>
  <c r="AI143" i="1"/>
  <c r="AB144" i="1"/>
  <c r="Q143" i="1" l="1"/>
  <c r="T143" i="1" s="1"/>
  <c r="E144" i="1"/>
  <c r="H144" i="1"/>
  <c r="AA144" i="1"/>
  <c r="AJ144" i="1" s="1"/>
  <c r="Z144" i="1"/>
  <c r="Y144" i="1"/>
  <c r="F144" i="1" l="1"/>
  <c r="G144" i="1"/>
  <c r="I144" i="1" l="1"/>
  <c r="L144" i="1" l="1"/>
  <c r="D145" i="1" s="1"/>
  <c r="P144" i="1" s="1"/>
  <c r="X144" i="1" s="1"/>
  <c r="J144" i="1"/>
  <c r="B145" i="1" s="1"/>
  <c r="K144" i="1"/>
  <c r="C145" i="1" s="1"/>
  <c r="N144" i="1" s="1"/>
  <c r="U144" i="1" l="1"/>
  <c r="O144" i="1"/>
  <c r="AH144" i="1"/>
  <c r="M144" i="1"/>
  <c r="AG144" i="1" s="1"/>
  <c r="AI144" i="1"/>
  <c r="AB145" i="1"/>
  <c r="Q144" i="1" l="1"/>
  <c r="T144" i="1" s="1"/>
  <c r="E145" i="1"/>
  <c r="H145" i="1"/>
  <c r="AA145" i="1"/>
  <c r="AJ145" i="1" s="1"/>
  <c r="Z145" i="1"/>
  <c r="Y145" i="1"/>
  <c r="F145" i="1" l="1"/>
  <c r="G145" i="1"/>
  <c r="I145" i="1" l="1"/>
  <c r="L145" i="1" l="1"/>
  <c r="D146" i="1" s="1"/>
  <c r="P145" i="1" s="1"/>
  <c r="X145" i="1" s="1"/>
  <c r="J145" i="1"/>
  <c r="B146" i="1" s="1"/>
  <c r="K145" i="1"/>
  <c r="C146" i="1" s="1"/>
  <c r="N145" i="1" s="1"/>
  <c r="U145" i="1" l="1"/>
  <c r="O145" i="1"/>
  <c r="AH145" i="1"/>
  <c r="M145" i="1"/>
  <c r="AG145" i="1" s="1"/>
  <c r="AI145" i="1"/>
  <c r="AB146" i="1"/>
  <c r="Q145" i="1" l="1"/>
  <c r="T145" i="1" s="1"/>
  <c r="E146" i="1"/>
  <c r="H146" i="1"/>
  <c r="AA146" i="1"/>
  <c r="AJ146" i="1" s="1"/>
  <c r="Z146" i="1"/>
  <c r="Y146" i="1"/>
  <c r="F146" i="1" l="1"/>
  <c r="G146" i="1"/>
  <c r="I146" i="1" l="1"/>
  <c r="L146" i="1" l="1"/>
  <c r="D147" i="1" s="1"/>
  <c r="P146" i="1" s="1"/>
  <c r="J146" i="1"/>
  <c r="B147" i="1" s="1"/>
  <c r="K146" i="1"/>
  <c r="C147" i="1" s="1"/>
  <c r="N146" i="1" s="1"/>
  <c r="X146" i="1" l="1"/>
  <c r="O146" i="1"/>
  <c r="AH146" i="1"/>
  <c r="M146" i="1"/>
  <c r="AI146" i="1"/>
  <c r="AB147" i="1"/>
  <c r="U146" i="1" l="1"/>
  <c r="AG146" i="1"/>
  <c r="Q146" i="1"/>
  <c r="T146" i="1" s="1"/>
  <c r="E147" i="1"/>
  <c r="H147" i="1"/>
  <c r="AA147" i="1"/>
  <c r="AJ147" i="1" s="1"/>
  <c r="Z147" i="1"/>
  <c r="Y147" i="1"/>
  <c r="F147" i="1" l="1"/>
  <c r="G147" i="1"/>
  <c r="I147" i="1" l="1"/>
  <c r="L147" i="1" l="1"/>
  <c r="D148" i="1" s="1"/>
  <c r="P147" i="1" s="1"/>
  <c r="J147" i="1"/>
  <c r="B148" i="1" s="1"/>
  <c r="K147" i="1"/>
  <c r="C148" i="1" s="1"/>
  <c r="N147" i="1" s="1"/>
  <c r="X147" i="1" l="1"/>
  <c r="O147" i="1"/>
  <c r="AH147" i="1"/>
  <c r="M147" i="1"/>
  <c r="AI147" i="1"/>
  <c r="AB148" i="1"/>
  <c r="U147" i="1" l="1"/>
  <c r="AG147" i="1"/>
  <c r="Q147" i="1"/>
  <c r="T147" i="1" s="1"/>
  <c r="E148" i="1"/>
  <c r="H148" i="1"/>
  <c r="AA148" i="1"/>
  <c r="AJ148" i="1" s="1"/>
  <c r="Z148" i="1"/>
  <c r="Y148" i="1"/>
  <c r="F148" i="1" l="1"/>
  <c r="G148" i="1"/>
  <c r="I148" i="1" l="1"/>
  <c r="L148" i="1" l="1"/>
  <c r="D149" i="1" s="1"/>
  <c r="P148" i="1" s="1"/>
  <c r="J148" i="1"/>
  <c r="B149" i="1" s="1"/>
  <c r="K148" i="1"/>
  <c r="C149" i="1" s="1"/>
  <c r="N148" i="1" s="1"/>
  <c r="X148" i="1" l="1"/>
  <c r="O148" i="1"/>
  <c r="AH148" i="1"/>
  <c r="M148" i="1"/>
  <c r="AI148" i="1"/>
  <c r="AB149" i="1"/>
  <c r="U148" i="1" l="1"/>
  <c r="AG148" i="1"/>
  <c r="Q148" i="1"/>
  <c r="T148" i="1" s="1"/>
  <c r="E149" i="1"/>
  <c r="H149" i="1"/>
  <c r="AA149" i="1"/>
  <c r="AJ149" i="1" s="1"/>
  <c r="Z149" i="1"/>
  <c r="Y149" i="1"/>
  <c r="F149" i="1" l="1"/>
  <c r="G149" i="1"/>
  <c r="I149" i="1" l="1"/>
  <c r="L149" i="1" l="1"/>
  <c r="D150" i="1" s="1"/>
  <c r="P149" i="1" s="1"/>
  <c r="J149" i="1"/>
  <c r="B150" i="1" s="1"/>
  <c r="K149" i="1"/>
  <c r="C150" i="1" s="1"/>
  <c r="N149" i="1" s="1"/>
  <c r="X149" i="1" l="1"/>
  <c r="O149" i="1"/>
  <c r="AH149" i="1"/>
  <c r="M149" i="1"/>
  <c r="AI149" i="1"/>
  <c r="AB150" i="1"/>
  <c r="U149" i="1" l="1"/>
  <c r="AG149" i="1"/>
  <c r="Q149" i="1"/>
  <c r="T149" i="1" s="1"/>
  <c r="E150" i="1"/>
  <c r="H150" i="1"/>
  <c r="AA150" i="1"/>
  <c r="AJ150" i="1" s="1"/>
  <c r="Z150" i="1"/>
  <c r="Y150" i="1"/>
  <c r="F150" i="1" l="1"/>
  <c r="G150" i="1"/>
  <c r="I150" i="1" l="1"/>
  <c r="L150" i="1" l="1"/>
  <c r="D151" i="1" s="1"/>
  <c r="P150" i="1" s="1"/>
  <c r="J150" i="1"/>
  <c r="B151" i="1" s="1"/>
  <c r="K150" i="1"/>
  <c r="C151" i="1" s="1"/>
  <c r="N150" i="1" s="1"/>
  <c r="X150" i="1" l="1"/>
  <c r="O150" i="1"/>
  <c r="AH150" i="1"/>
  <c r="M150" i="1"/>
  <c r="AI150" i="1"/>
  <c r="AB151" i="1"/>
  <c r="U150" i="1" l="1"/>
  <c r="AG150" i="1"/>
  <c r="Q150" i="1"/>
  <c r="T150" i="1" s="1"/>
  <c r="E151" i="1"/>
  <c r="H151" i="1"/>
  <c r="AA151" i="1"/>
  <c r="AJ151" i="1" s="1"/>
  <c r="Z151" i="1"/>
  <c r="Y151" i="1"/>
  <c r="F151" i="1" l="1"/>
  <c r="G151" i="1"/>
  <c r="I151" i="1" l="1"/>
  <c r="L151" i="1" l="1"/>
  <c r="D152" i="1" s="1"/>
  <c r="P151" i="1" s="1"/>
  <c r="J151" i="1"/>
  <c r="B152" i="1" s="1"/>
  <c r="K151" i="1"/>
  <c r="C152" i="1" s="1"/>
  <c r="N151" i="1" s="1"/>
  <c r="X151" i="1" l="1"/>
  <c r="O151" i="1"/>
  <c r="AH151" i="1"/>
  <c r="M151" i="1"/>
  <c r="AI151" i="1"/>
  <c r="AB152" i="1"/>
  <c r="U151" i="1" l="1"/>
  <c r="AG151" i="1"/>
  <c r="Q151" i="1"/>
  <c r="T151" i="1" s="1"/>
  <c r="E152" i="1"/>
  <c r="H152" i="1"/>
  <c r="AA152" i="1"/>
  <c r="AJ152" i="1" s="1"/>
  <c r="Z152" i="1"/>
  <c r="Y152" i="1"/>
  <c r="F152" i="1" l="1"/>
  <c r="G152" i="1"/>
  <c r="I152" i="1" l="1"/>
  <c r="L152" i="1" l="1"/>
  <c r="D153" i="1" s="1"/>
  <c r="P152" i="1" s="1"/>
  <c r="J152" i="1"/>
  <c r="B153" i="1" s="1"/>
  <c r="K152" i="1"/>
  <c r="C153" i="1" s="1"/>
  <c r="N152" i="1" s="1"/>
  <c r="X152" i="1" l="1"/>
  <c r="O152" i="1"/>
  <c r="AH152" i="1"/>
  <c r="M152" i="1"/>
  <c r="AI152" i="1"/>
  <c r="AB153" i="1"/>
  <c r="U152" i="1" l="1"/>
  <c r="AG152" i="1"/>
  <c r="Q152" i="1"/>
  <c r="T152" i="1" s="1"/>
  <c r="E153" i="1"/>
  <c r="H153" i="1"/>
  <c r="AA153" i="1"/>
  <c r="AJ153" i="1" s="1"/>
  <c r="Z153" i="1"/>
  <c r="Y153" i="1"/>
  <c r="F153" i="1" l="1"/>
  <c r="G153" i="1"/>
  <c r="I153" i="1" l="1"/>
  <c r="L153" i="1" l="1"/>
  <c r="D154" i="1" s="1"/>
  <c r="P153" i="1" s="1"/>
  <c r="J153" i="1"/>
  <c r="B154" i="1" s="1"/>
  <c r="K153" i="1"/>
  <c r="C154" i="1" s="1"/>
  <c r="N153" i="1" s="1"/>
  <c r="X153" i="1" l="1"/>
  <c r="O153" i="1"/>
  <c r="AH153" i="1"/>
  <c r="M153" i="1"/>
  <c r="AI153" i="1"/>
  <c r="AB154" i="1"/>
  <c r="U153" i="1" l="1"/>
  <c r="AG153" i="1"/>
  <c r="Q153" i="1"/>
  <c r="T153" i="1" s="1"/>
  <c r="E154" i="1"/>
  <c r="H154" i="1"/>
  <c r="AA154" i="1"/>
  <c r="AJ154" i="1" s="1"/>
  <c r="Z154" i="1"/>
  <c r="Y154" i="1"/>
  <c r="F154" i="1" l="1"/>
  <c r="G154" i="1"/>
  <c r="I154" i="1" l="1"/>
  <c r="L154" i="1" l="1"/>
  <c r="D155" i="1" s="1"/>
  <c r="P154" i="1" s="1"/>
  <c r="J154" i="1"/>
  <c r="B155" i="1" s="1"/>
  <c r="K154" i="1"/>
  <c r="C155" i="1" s="1"/>
  <c r="N154" i="1" s="1"/>
  <c r="X154" i="1" l="1"/>
  <c r="O154" i="1"/>
  <c r="AH154" i="1"/>
  <c r="M154" i="1"/>
  <c r="AI154" i="1"/>
  <c r="AB155" i="1"/>
  <c r="U154" i="1" l="1"/>
  <c r="AG154" i="1"/>
  <c r="Q154" i="1"/>
  <c r="T154" i="1" s="1"/>
  <c r="E155" i="1"/>
  <c r="H155" i="1"/>
  <c r="AA155" i="1"/>
  <c r="AJ155" i="1" s="1"/>
  <c r="Z155" i="1"/>
  <c r="Y155" i="1"/>
  <c r="F155" i="1" l="1"/>
  <c r="G155" i="1"/>
  <c r="I155" i="1" l="1"/>
  <c r="L155" i="1" l="1"/>
  <c r="D156" i="1" s="1"/>
  <c r="P155" i="1" s="1"/>
  <c r="J155" i="1"/>
  <c r="B156" i="1" s="1"/>
  <c r="K155" i="1"/>
  <c r="C156" i="1" s="1"/>
  <c r="N155" i="1" s="1"/>
  <c r="X155" i="1" l="1"/>
  <c r="O155" i="1"/>
  <c r="AH155" i="1"/>
  <c r="M155" i="1"/>
  <c r="AI155" i="1"/>
  <c r="AB156" i="1"/>
  <c r="U155" i="1" l="1"/>
  <c r="AG155" i="1"/>
  <c r="Q155" i="1"/>
  <c r="T155" i="1" s="1"/>
  <c r="E156" i="1"/>
  <c r="H156" i="1"/>
  <c r="AA156" i="1"/>
  <c r="AJ156" i="1" s="1"/>
  <c r="Z156" i="1"/>
  <c r="Y156" i="1"/>
  <c r="F156" i="1" l="1"/>
  <c r="G156" i="1"/>
  <c r="I156" i="1" l="1"/>
  <c r="L156" i="1" l="1"/>
  <c r="D157" i="1" s="1"/>
  <c r="P156" i="1" s="1"/>
  <c r="J156" i="1"/>
  <c r="B157" i="1" s="1"/>
  <c r="K156" i="1"/>
  <c r="C157" i="1" s="1"/>
  <c r="N156" i="1" s="1"/>
  <c r="X156" i="1" l="1"/>
  <c r="O156" i="1"/>
  <c r="AH156" i="1"/>
  <c r="M156" i="1"/>
  <c r="AI156" i="1"/>
  <c r="AB157" i="1"/>
  <c r="U156" i="1" l="1"/>
  <c r="AG156" i="1"/>
  <c r="Q156" i="1"/>
  <c r="T156" i="1" s="1"/>
  <c r="E157" i="1"/>
  <c r="H157" i="1"/>
  <c r="AA157" i="1"/>
  <c r="AJ157" i="1" s="1"/>
  <c r="Z157" i="1"/>
  <c r="Y157" i="1"/>
  <c r="F157" i="1" l="1"/>
  <c r="G157" i="1"/>
  <c r="I157" i="1" l="1"/>
  <c r="L157" i="1" l="1"/>
  <c r="D158" i="1" s="1"/>
  <c r="P157" i="1" s="1"/>
  <c r="J157" i="1"/>
  <c r="B158" i="1" s="1"/>
  <c r="K157" i="1"/>
  <c r="C158" i="1" s="1"/>
  <c r="N157" i="1" s="1"/>
  <c r="X157" i="1" l="1"/>
  <c r="U157" i="1" s="1"/>
  <c r="AD157" i="1"/>
  <c r="O157" i="1"/>
  <c r="AH157" i="1"/>
  <c r="M157" i="1"/>
  <c r="Q157" i="1" s="1"/>
  <c r="AB158" i="1"/>
  <c r="T157" i="1" l="1"/>
  <c r="AI157" i="1"/>
  <c r="AE157" i="1"/>
  <c r="AG157" i="1"/>
  <c r="AC157" i="1"/>
  <c r="E158" i="1"/>
  <c r="H158" i="1"/>
  <c r="AA158" i="1"/>
  <c r="AJ158" i="1" s="1"/>
  <c r="Z158" i="1"/>
  <c r="Y158" i="1"/>
  <c r="F158" i="1" l="1"/>
  <c r="G158" i="1"/>
  <c r="I158" i="1" l="1"/>
  <c r="L158" i="1" l="1"/>
  <c r="D159" i="1" s="1"/>
  <c r="P158" i="1" s="1"/>
  <c r="J158" i="1"/>
  <c r="B159" i="1" s="1"/>
  <c r="M158" i="1" s="1"/>
  <c r="K158" i="1"/>
  <c r="C159" i="1" s="1"/>
  <c r="N158" i="1" s="1"/>
  <c r="X158" i="1" l="1"/>
  <c r="U158" i="1" s="1"/>
  <c r="AG158" i="1"/>
  <c r="Q158" i="1"/>
  <c r="O158" i="1"/>
  <c r="AH158" i="1"/>
  <c r="AB159" i="1"/>
  <c r="AI158" i="1"/>
  <c r="T158" i="1" l="1"/>
  <c r="E159" i="1"/>
  <c r="H159" i="1"/>
  <c r="AA159" i="1"/>
  <c r="AJ159" i="1" s="1"/>
  <c r="Z159" i="1"/>
  <c r="Y159" i="1"/>
  <c r="F159" i="1" l="1"/>
  <c r="G159" i="1"/>
  <c r="I159" i="1" l="1"/>
  <c r="L159" i="1" l="1"/>
  <c r="D160" i="1" s="1"/>
  <c r="P159" i="1" s="1"/>
  <c r="J159" i="1"/>
  <c r="B160" i="1" s="1"/>
  <c r="K159" i="1"/>
  <c r="C160" i="1" s="1"/>
  <c r="N159" i="1" s="1"/>
  <c r="X159" i="1" l="1"/>
  <c r="U159" i="1" s="1"/>
  <c r="O159" i="1"/>
  <c r="AH159" i="1"/>
  <c r="M159" i="1"/>
  <c r="AB160" i="1"/>
  <c r="AI159" i="1"/>
  <c r="AG159" i="1" l="1"/>
  <c r="Q159" i="1"/>
  <c r="T159" i="1" s="1"/>
  <c r="E160" i="1"/>
  <c r="H160" i="1"/>
  <c r="AA160" i="1"/>
  <c r="AJ160" i="1" s="1"/>
  <c r="Z160" i="1"/>
  <c r="Y160" i="1"/>
  <c r="F160" i="1" l="1"/>
  <c r="G160" i="1"/>
  <c r="I160" i="1" l="1"/>
  <c r="L160" i="1" l="1"/>
  <c r="D161" i="1" s="1"/>
  <c r="P160" i="1" s="1"/>
  <c r="J160" i="1"/>
  <c r="B161" i="1" s="1"/>
  <c r="K160" i="1"/>
  <c r="C161" i="1" s="1"/>
  <c r="N160" i="1" s="1"/>
  <c r="X160" i="1" l="1"/>
  <c r="U160" i="1" s="1"/>
  <c r="O160" i="1"/>
  <c r="AH160" i="1"/>
  <c r="M160" i="1"/>
  <c r="AB161" i="1"/>
  <c r="AI160" i="1"/>
  <c r="AG160" i="1" l="1"/>
  <c r="Q160" i="1"/>
  <c r="T160" i="1" s="1"/>
  <c r="E161" i="1"/>
  <c r="H161" i="1"/>
  <c r="AA161" i="1"/>
  <c r="AJ161" i="1" s="1"/>
  <c r="Z161" i="1"/>
  <c r="Y161" i="1"/>
  <c r="F161" i="1" l="1"/>
  <c r="G161" i="1"/>
  <c r="I161" i="1" l="1"/>
  <c r="L161" i="1" l="1"/>
  <c r="D162" i="1" s="1"/>
  <c r="P161" i="1" s="1"/>
  <c r="J161" i="1"/>
  <c r="B162" i="1" s="1"/>
  <c r="K161" i="1"/>
  <c r="C162" i="1" s="1"/>
  <c r="N161" i="1" s="1"/>
  <c r="X161" i="1" l="1"/>
  <c r="U161" i="1" s="1"/>
  <c r="O161" i="1"/>
  <c r="AH161" i="1"/>
  <c r="M161" i="1"/>
  <c r="AB162" i="1"/>
  <c r="AI161" i="1"/>
  <c r="AG161" i="1" l="1"/>
  <c r="Q161" i="1"/>
  <c r="T161" i="1" s="1"/>
  <c r="E162" i="1"/>
  <c r="H162" i="1"/>
  <c r="AA162" i="1"/>
  <c r="AJ162" i="1" s="1"/>
  <c r="Z162" i="1"/>
  <c r="Y162" i="1"/>
  <c r="F162" i="1" l="1"/>
  <c r="G162" i="1"/>
  <c r="I162" i="1" l="1"/>
  <c r="L162" i="1" l="1"/>
  <c r="D163" i="1" s="1"/>
  <c r="P162" i="1" s="1"/>
  <c r="J162" i="1"/>
  <c r="B163" i="1" s="1"/>
  <c r="K162" i="1"/>
  <c r="C163" i="1" s="1"/>
  <c r="N162" i="1" s="1"/>
  <c r="X162" i="1" l="1"/>
  <c r="U162" i="1" s="1"/>
  <c r="O162" i="1"/>
  <c r="AH162" i="1"/>
  <c r="M162" i="1"/>
  <c r="AB163" i="1"/>
  <c r="AI162" i="1"/>
  <c r="AG162" i="1" l="1"/>
  <c r="Q162" i="1"/>
  <c r="T162" i="1" s="1"/>
  <c r="E163" i="1"/>
  <c r="H163" i="1"/>
  <c r="AA163" i="1"/>
  <c r="AJ163" i="1" s="1"/>
  <c r="Z163" i="1"/>
  <c r="Y163" i="1"/>
  <c r="F163" i="1" l="1"/>
  <c r="G163" i="1"/>
  <c r="I163" i="1" l="1"/>
  <c r="L163" i="1" l="1"/>
  <c r="D164" i="1" s="1"/>
  <c r="P163" i="1" s="1"/>
  <c r="J163" i="1"/>
  <c r="B164" i="1" s="1"/>
  <c r="K163" i="1"/>
  <c r="C164" i="1" s="1"/>
  <c r="N163" i="1" s="1"/>
  <c r="X163" i="1" l="1"/>
  <c r="U163" i="1" s="1"/>
  <c r="O163" i="1"/>
  <c r="AH163" i="1"/>
  <c r="M163" i="1"/>
  <c r="AB164" i="1"/>
  <c r="AI163" i="1"/>
  <c r="AG163" i="1" l="1"/>
  <c r="Q163" i="1"/>
  <c r="T163" i="1" s="1"/>
  <c r="E164" i="1"/>
  <c r="H164" i="1"/>
  <c r="AA164" i="1"/>
  <c r="AJ164" i="1" s="1"/>
  <c r="Z164" i="1"/>
  <c r="Y164" i="1"/>
  <c r="F164" i="1" l="1"/>
  <c r="G164" i="1"/>
  <c r="I164" i="1" l="1"/>
  <c r="L164" i="1" l="1"/>
  <c r="D165" i="1" s="1"/>
  <c r="P164" i="1" s="1"/>
  <c r="J164" i="1"/>
  <c r="B165" i="1" s="1"/>
  <c r="K164" i="1"/>
  <c r="C165" i="1" s="1"/>
  <c r="N164" i="1" s="1"/>
  <c r="X164" i="1" l="1"/>
  <c r="U164" i="1" s="1"/>
  <c r="O164" i="1"/>
  <c r="AH164" i="1"/>
  <c r="M164" i="1"/>
  <c r="AB165" i="1"/>
  <c r="AI164" i="1"/>
  <c r="AG164" i="1" l="1"/>
  <c r="Q164" i="1"/>
  <c r="T164" i="1" s="1"/>
  <c r="E165" i="1"/>
  <c r="H165" i="1"/>
  <c r="AA165" i="1"/>
  <c r="AJ165" i="1" s="1"/>
  <c r="Z165" i="1"/>
  <c r="Y165" i="1"/>
  <c r="F165" i="1" l="1"/>
  <c r="G165" i="1"/>
  <c r="I165" i="1" l="1"/>
  <c r="L165" i="1" l="1"/>
  <c r="D166" i="1" s="1"/>
  <c r="P165" i="1" s="1"/>
  <c r="J165" i="1"/>
  <c r="B166" i="1" s="1"/>
  <c r="K165" i="1"/>
  <c r="C166" i="1" s="1"/>
  <c r="N165" i="1" s="1"/>
  <c r="X165" i="1" l="1"/>
  <c r="U165" i="1" s="1"/>
  <c r="O165" i="1"/>
  <c r="AH165" i="1"/>
  <c r="M165" i="1"/>
  <c r="AB166" i="1"/>
  <c r="AI165" i="1"/>
  <c r="AG165" i="1" l="1"/>
  <c r="Q165" i="1"/>
  <c r="T165" i="1" s="1"/>
  <c r="E166" i="1"/>
  <c r="H166" i="1"/>
  <c r="AA166" i="1"/>
  <c r="AJ166" i="1" s="1"/>
  <c r="Z166" i="1"/>
  <c r="Y166" i="1"/>
  <c r="F166" i="1" l="1"/>
  <c r="G166" i="1"/>
  <c r="I166" i="1" l="1"/>
  <c r="L166" i="1" l="1"/>
  <c r="D167" i="1" s="1"/>
  <c r="P166" i="1" s="1"/>
  <c r="J166" i="1"/>
  <c r="B167" i="1" s="1"/>
  <c r="K166" i="1"/>
  <c r="C167" i="1" s="1"/>
  <c r="N166" i="1" s="1"/>
  <c r="X166" i="1" l="1"/>
  <c r="U166" i="1" s="1"/>
  <c r="O166" i="1"/>
  <c r="AH166" i="1"/>
  <c r="M166" i="1"/>
  <c r="AB167" i="1"/>
  <c r="AI166" i="1"/>
  <c r="AG166" i="1" l="1"/>
  <c r="Q166" i="1"/>
  <c r="T166" i="1" s="1"/>
  <c r="E167" i="1"/>
  <c r="H167" i="1"/>
  <c r="AA167" i="1"/>
  <c r="AJ167" i="1" s="1"/>
  <c r="Z167" i="1"/>
  <c r="Y167" i="1"/>
  <c r="F167" i="1" l="1"/>
  <c r="G167" i="1"/>
  <c r="I167" i="1" l="1"/>
  <c r="L167" i="1" l="1"/>
  <c r="D168" i="1" s="1"/>
  <c r="P167" i="1" s="1"/>
  <c r="J167" i="1"/>
  <c r="B168" i="1" s="1"/>
  <c r="K167" i="1"/>
  <c r="C168" i="1" s="1"/>
  <c r="N167" i="1" s="1"/>
  <c r="X167" i="1" l="1"/>
  <c r="U167" i="1" s="1"/>
  <c r="O167" i="1"/>
  <c r="AH167" i="1"/>
  <c r="M167" i="1"/>
  <c r="AB168" i="1"/>
  <c r="AI167" i="1"/>
  <c r="AG167" i="1" l="1"/>
  <c r="Q167" i="1"/>
  <c r="T167" i="1" s="1"/>
  <c r="E168" i="1"/>
  <c r="H168" i="1"/>
  <c r="AA168" i="1"/>
  <c r="AJ168" i="1" s="1"/>
  <c r="Z168" i="1"/>
  <c r="Y168" i="1"/>
  <c r="F168" i="1" l="1"/>
  <c r="G168" i="1"/>
  <c r="I168" i="1" l="1"/>
  <c r="L168" i="1" l="1"/>
  <c r="D169" i="1" s="1"/>
  <c r="P168" i="1" s="1"/>
  <c r="J168" i="1"/>
  <c r="B169" i="1" s="1"/>
  <c r="K168" i="1"/>
  <c r="C169" i="1" s="1"/>
  <c r="N168" i="1" s="1"/>
  <c r="X168" i="1" l="1"/>
  <c r="U168" i="1" s="1"/>
  <c r="O168" i="1"/>
  <c r="AH168" i="1"/>
  <c r="M168" i="1"/>
  <c r="AB169" i="1"/>
  <c r="AI168" i="1"/>
  <c r="AG168" i="1" l="1"/>
  <c r="Q168" i="1"/>
  <c r="T168" i="1" s="1"/>
  <c r="E169" i="1"/>
  <c r="H169" i="1"/>
  <c r="AA169" i="1"/>
  <c r="AJ169" i="1" s="1"/>
  <c r="Z169" i="1"/>
  <c r="Y169" i="1"/>
  <c r="F169" i="1" l="1"/>
  <c r="G169" i="1"/>
  <c r="I169" i="1" l="1"/>
  <c r="L169" i="1" l="1"/>
  <c r="D170" i="1" s="1"/>
  <c r="P169" i="1" s="1"/>
  <c r="J169" i="1"/>
  <c r="B170" i="1" s="1"/>
  <c r="K169" i="1"/>
  <c r="C170" i="1" s="1"/>
  <c r="N169" i="1" s="1"/>
  <c r="X169" i="1" l="1"/>
  <c r="U169" i="1" s="1"/>
  <c r="O169" i="1"/>
  <c r="AH169" i="1"/>
  <c r="M169" i="1"/>
  <c r="AB170" i="1"/>
  <c r="AI169" i="1"/>
  <c r="AG169" i="1" l="1"/>
  <c r="Q169" i="1"/>
  <c r="T169" i="1" s="1"/>
  <c r="E170" i="1"/>
  <c r="H170" i="1"/>
  <c r="AA170" i="1"/>
  <c r="AJ170" i="1" s="1"/>
  <c r="Z170" i="1"/>
  <c r="Y170" i="1"/>
  <c r="F170" i="1" l="1"/>
  <c r="G170" i="1"/>
  <c r="I170" i="1" l="1"/>
  <c r="L170" i="1" l="1"/>
  <c r="D171" i="1" s="1"/>
  <c r="P170" i="1" s="1"/>
  <c r="J170" i="1"/>
  <c r="B171" i="1" s="1"/>
  <c r="K170" i="1"/>
  <c r="C171" i="1" s="1"/>
  <c r="N170" i="1" s="1"/>
  <c r="X170" i="1" l="1"/>
  <c r="U170" i="1" s="1"/>
  <c r="O170" i="1"/>
  <c r="AH170" i="1"/>
  <c r="M170" i="1"/>
  <c r="AB171" i="1"/>
  <c r="AI170" i="1"/>
  <c r="AG170" i="1" l="1"/>
  <c r="Q170" i="1"/>
  <c r="T170" i="1" s="1"/>
  <c r="E171" i="1"/>
  <c r="H171" i="1"/>
  <c r="AA171" i="1"/>
  <c r="AJ171" i="1" s="1"/>
  <c r="Z171" i="1"/>
  <c r="Y171" i="1"/>
  <c r="F171" i="1" l="1"/>
  <c r="G171" i="1"/>
  <c r="I171" i="1" l="1"/>
  <c r="L171" i="1" l="1"/>
  <c r="D172" i="1" s="1"/>
  <c r="P171" i="1" s="1"/>
  <c r="J171" i="1"/>
  <c r="B172" i="1" s="1"/>
  <c r="K171" i="1"/>
  <c r="C172" i="1" s="1"/>
  <c r="N171" i="1" s="1"/>
  <c r="X171" i="1" l="1"/>
  <c r="U171" i="1" s="1"/>
  <c r="O171" i="1"/>
  <c r="AH171" i="1"/>
  <c r="M171" i="1"/>
  <c r="AB172" i="1"/>
  <c r="AI171" i="1"/>
  <c r="AG171" i="1" l="1"/>
  <c r="Q171" i="1"/>
  <c r="T171" i="1" s="1"/>
  <c r="E172" i="1"/>
  <c r="H172" i="1"/>
  <c r="AA172" i="1"/>
  <c r="AJ172" i="1" s="1"/>
  <c r="Z172" i="1"/>
  <c r="Y172" i="1"/>
  <c r="F172" i="1" l="1"/>
  <c r="G172" i="1"/>
  <c r="I172" i="1" l="1"/>
  <c r="L172" i="1" l="1"/>
  <c r="D173" i="1" s="1"/>
  <c r="P172" i="1" s="1"/>
  <c r="J172" i="1"/>
  <c r="B173" i="1" s="1"/>
  <c r="K172" i="1"/>
  <c r="C173" i="1" s="1"/>
  <c r="N172" i="1" s="1"/>
  <c r="X172" i="1" l="1"/>
  <c r="U172" i="1" s="1"/>
  <c r="O172" i="1"/>
  <c r="AH172" i="1"/>
  <c r="M172" i="1"/>
  <c r="AB173" i="1"/>
  <c r="AI172" i="1"/>
  <c r="AG172" i="1" l="1"/>
  <c r="Q172" i="1"/>
  <c r="T172" i="1" s="1"/>
  <c r="E173" i="1"/>
  <c r="H173" i="1"/>
  <c r="AA173" i="1"/>
  <c r="AJ173" i="1" s="1"/>
  <c r="Z173" i="1"/>
  <c r="Y173" i="1"/>
  <c r="F173" i="1" l="1"/>
  <c r="G173" i="1"/>
  <c r="I173" i="1" l="1"/>
  <c r="L173" i="1" l="1"/>
  <c r="D174" i="1" s="1"/>
  <c r="P173" i="1" s="1"/>
  <c r="J173" i="1"/>
  <c r="B174" i="1" s="1"/>
  <c r="K173" i="1"/>
  <c r="C174" i="1" s="1"/>
  <c r="N173" i="1" s="1"/>
  <c r="X173" i="1" l="1"/>
  <c r="U173" i="1" s="1"/>
  <c r="O173" i="1"/>
  <c r="AH173" i="1"/>
  <c r="M173" i="1"/>
  <c r="Q173" i="1" s="1"/>
  <c r="AB174" i="1"/>
  <c r="AI173" i="1"/>
  <c r="T173" i="1" l="1"/>
  <c r="E174" i="1"/>
  <c r="H174" i="1"/>
  <c r="AA174" i="1"/>
  <c r="Z174" i="1"/>
  <c r="Y174" i="1"/>
  <c r="AG173" i="1"/>
  <c r="AJ174" i="1" l="1"/>
  <c r="F174" i="1"/>
  <c r="G174" i="1"/>
  <c r="I174" i="1" l="1"/>
  <c r="L174" i="1" l="1"/>
  <c r="D175" i="1" s="1"/>
  <c r="P174" i="1" s="1"/>
  <c r="J174" i="1"/>
  <c r="B175" i="1" s="1"/>
  <c r="K174" i="1"/>
  <c r="C175" i="1" s="1"/>
  <c r="N174" i="1" s="1"/>
  <c r="X174" i="1" l="1"/>
  <c r="U174" i="1" s="1"/>
  <c r="O174" i="1"/>
  <c r="AH174" i="1"/>
  <c r="M174" i="1"/>
  <c r="Q174" i="1" s="1"/>
  <c r="AB175" i="1"/>
  <c r="AI174" i="1"/>
  <c r="T174" i="1" l="1"/>
  <c r="E175" i="1"/>
  <c r="H175" i="1"/>
  <c r="AA175" i="1"/>
  <c r="Z175" i="1"/>
  <c r="Y175" i="1"/>
  <c r="AG174" i="1"/>
  <c r="AJ175" i="1" l="1"/>
  <c r="F175" i="1"/>
  <c r="G175" i="1"/>
  <c r="I175" i="1" l="1"/>
  <c r="L175" i="1" l="1"/>
  <c r="D176" i="1" s="1"/>
  <c r="P175" i="1" s="1"/>
  <c r="J175" i="1"/>
  <c r="B176" i="1" s="1"/>
  <c r="K175" i="1"/>
  <c r="C176" i="1" s="1"/>
  <c r="N175" i="1" s="1"/>
  <c r="X175" i="1" l="1"/>
  <c r="U175" i="1" s="1"/>
  <c r="O175" i="1"/>
  <c r="AH175" i="1"/>
  <c r="M175" i="1"/>
  <c r="Q175" i="1" s="1"/>
  <c r="AB176" i="1"/>
  <c r="AI175" i="1"/>
  <c r="T175" i="1" l="1"/>
  <c r="E176" i="1"/>
  <c r="H176" i="1"/>
  <c r="AA176" i="1"/>
  <c r="Z176" i="1"/>
  <c r="Y176" i="1"/>
  <c r="AG175" i="1"/>
  <c r="AJ176" i="1" l="1"/>
  <c r="F176" i="1"/>
  <c r="G176" i="1"/>
  <c r="I176" i="1" l="1"/>
  <c r="L176" i="1" l="1"/>
  <c r="D177" i="1" s="1"/>
  <c r="P176" i="1" s="1"/>
  <c r="J176" i="1"/>
  <c r="B177" i="1" s="1"/>
  <c r="K176" i="1"/>
  <c r="C177" i="1" s="1"/>
  <c r="N176" i="1" s="1"/>
  <c r="X176" i="1" l="1"/>
  <c r="U176" i="1" s="1"/>
  <c r="O176" i="1"/>
  <c r="AH176" i="1"/>
  <c r="M176" i="1"/>
  <c r="Q176" i="1" s="1"/>
  <c r="AB177" i="1"/>
  <c r="AI176" i="1"/>
  <c r="T176" i="1" l="1"/>
  <c r="E177" i="1"/>
  <c r="H177" i="1"/>
  <c r="AA177" i="1"/>
  <c r="Z177" i="1"/>
  <c r="Y177" i="1"/>
  <c r="AG176" i="1"/>
  <c r="AJ177" i="1" l="1"/>
  <c r="F177" i="1"/>
  <c r="G177" i="1"/>
  <c r="I177" i="1" l="1"/>
  <c r="L177" i="1" l="1"/>
  <c r="D178" i="1" s="1"/>
  <c r="P177" i="1" s="1"/>
  <c r="J177" i="1"/>
  <c r="B178" i="1" s="1"/>
  <c r="K177" i="1"/>
  <c r="C178" i="1" s="1"/>
  <c r="N177" i="1" s="1"/>
  <c r="X177" i="1" l="1"/>
  <c r="U177" i="1" s="1"/>
  <c r="O177" i="1"/>
  <c r="AH177" i="1"/>
  <c r="M177" i="1"/>
  <c r="Q177" i="1" s="1"/>
  <c r="AB178" i="1"/>
  <c r="AI177" i="1"/>
  <c r="T177" i="1" l="1"/>
  <c r="E178" i="1"/>
  <c r="H178" i="1"/>
  <c r="AA178" i="1"/>
  <c r="Z178" i="1"/>
  <c r="Y178" i="1"/>
  <c r="AG177" i="1"/>
  <c r="AJ178" i="1" l="1"/>
  <c r="F178" i="1"/>
  <c r="G178" i="1"/>
  <c r="I178" i="1" l="1"/>
  <c r="L178" i="1" l="1"/>
  <c r="D179" i="1" s="1"/>
  <c r="P178" i="1" s="1"/>
  <c r="J178" i="1"/>
  <c r="B179" i="1" s="1"/>
  <c r="K178" i="1"/>
  <c r="C179" i="1" s="1"/>
  <c r="N178" i="1" s="1"/>
  <c r="X178" i="1" l="1"/>
  <c r="U178" i="1" s="1"/>
  <c r="O178" i="1"/>
  <c r="AH178" i="1"/>
  <c r="M178" i="1"/>
  <c r="AB179" i="1"/>
  <c r="AI178" i="1"/>
  <c r="AG178" i="1" l="1"/>
  <c r="Q178" i="1"/>
  <c r="T178" i="1" s="1"/>
  <c r="E179" i="1"/>
  <c r="H179" i="1"/>
  <c r="AA179" i="1"/>
  <c r="AJ179" i="1" s="1"/>
  <c r="Z179" i="1"/>
  <c r="Y179" i="1"/>
  <c r="F179" i="1" l="1"/>
  <c r="G179" i="1"/>
  <c r="I179" i="1" l="1"/>
  <c r="L179" i="1" l="1"/>
  <c r="D180" i="1" s="1"/>
  <c r="P179" i="1" s="1"/>
  <c r="J179" i="1"/>
  <c r="B180" i="1" s="1"/>
  <c r="M179" i="1" s="1"/>
  <c r="K179" i="1"/>
  <c r="C180" i="1" s="1"/>
  <c r="N179" i="1" s="1"/>
  <c r="X179" i="1" l="1"/>
  <c r="U179" i="1" s="1"/>
  <c r="AG179" i="1"/>
  <c r="Q179" i="1"/>
  <c r="O179" i="1"/>
  <c r="AH179" i="1"/>
  <c r="AB180" i="1"/>
  <c r="AI179" i="1"/>
  <c r="T179" i="1" l="1"/>
  <c r="E180" i="1"/>
  <c r="H180" i="1"/>
  <c r="AA180" i="1"/>
  <c r="AJ180" i="1" s="1"/>
  <c r="Z180" i="1"/>
  <c r="Y180" i="1"/>
  <c r="F180" i="1" l="1"/>
  <c r="G180" i="1"/>
  <c r="I180" i="1" l="1"/>
  <c r="L180" i="1" l="1"/>
  <c r="D181" i="1" s="1"/>
  <c r="P180" i="1" s="1"/>
  <c r="J180" i="1"/>
  <c r="B181" i="1" s="1"/>
  <c r="K180" i="1"/>
  <c r="C181" i="1" s="1"/>
  <c r="N180" i="1" s="1"/>
  <c r="X180" i="1" l="1"/>
  <c r="U180" i="1" s="1"/>
  <c r="O180" i="1"/>
  <c r="AH180" i="1"/>
  <c r="M180" i="1"/>
  <c r="AB181" i="1"/>
  <c r="AI180" i="1"/>
  <c r="AG180" i="1" l="1"/>
  <c r="Q180" i="1"/>
  <c r="T180" i="1" s="1"/>
  <c r="E181" i="1"/>
  <c r="H181" i="1"/>
  <c r="AA181" i="1"/>
  <c r="AJ181" i="1" s="1"/>
  <c r="Z181" i="1"/>
  <c r="Y181" i="1"/>
  <c r="F181" i="1" l="1"/>
  <c r="G181" i="1"/>
  <c r="I181" i="1" l="1"/>
  <c r="L181" i="1" l="1"/>
  <c r="D182" i="1" s="1"/>
  <c r="P181" i="1" s="1"/>
  <c r="J181" i="1"/>
  <c r="B182" i="1" s="1"/>
  <c r="K181" i="1"/>
  <c r="C182" i="1" s="1"/>
  <c r="N181" i="1" s="1"/>
  <c r="X181" i="1" l="1"/>
  <c r="U181" i="1" s="1"/>
  <c r="AH181" i="1"/>
  <c r="O181" i="1"/>
  <c r="M181" i="1"/>
  <c r="Q181" i="1" s="1"/>
  <c r="AB182" i="1"/>
  <c r="AI181" i="1"/>
  <c r="T181" i="1" l="1"/>
  <c r="E182" i="1"/>
  <c r="H182" i="1"/>
  <c r="AA182" i="1"/>
  <c r="AJ182" i="1" s="1"/>
  <c r="Z182" i="1"/>
  <c r="Y182" i="1"/>
  <c r="AG181" i="1"/>
  <c r="F182" i="1" l="1"/>
  <c r="G182" i="1"/>
  <c r="I182" i="1" l="1"/>
  <c r="L182" i="1" l="1"/>
  <c r="D183" i="1" s="1"/>
  <c r="P182" i="1" s="1"/>
  <c r="J182" i="1"/>
  <c r="B183" i="1" s="1"/>
  <c r="M182" i="1" s="1"/>
  <c r="K182" i="1"/>
  <c r="C183" i="1" s="1"/>
  <c r="N182" i="1" s="1"/>
  <c r="X182" i="1" l="1"/>
  <c r="U182" i="1" s="1"/>
  <c r="AG182" i="1"/>
  <c r="Q182" i="1"/>
  <c r="O182" i="1"/>
  <c r="AH182" i="1"/>
  <c r="AB183" i="1"/>
  <c r="T182" i="1" l="1"/>
  <c r="AI182" i="1"/>
  <c r="E183" i="1"/>
  <c r="H183" i="1"/>
  <c r="AA183" i="1"/>
  <c r="AJ183" i="1" s="1"/>
  <c r="Z183" i="1"/>
  <c r="Y183" i="1"/>
  <c r="F183" i="1" l="1"/>
  <c r="G183" i="1"/>
  <c r="I183" i="1" l="1"/>
  <c r="J183" i="1" l="1"/>
  <c r="B184" i="1" s="1"/>
  <c r="K183" i="1"/>
  <c r="C184" i="1" s="1"/>
  <c r="N183" i="1" s="1"/>
  <c r="L183" i="1"/>
  <c r="D184" i="1" s="1"/>
  <c r="AB184" i="1" l="1"/>
  <c r="P183" i="1"/>
  <c r="AI183" i="1" s="1"/>
  <c r="O183" i="1"/>
  <c r="AH183" i="1"/>
  <c r="M183" i="1"/>
  <c r="X183" i="1" l="1"/>
  <c r="U183" i="1" s="1"/>
  <c r="Y184" i="1"/>
  <c r="Z184" i="1"/>
  <c r="H184" i="1"/>
  <c r="AA184" i="1"/>
  <c r="AJ184" i="1" s="1"/>
  <c r="E184" i="1"/>
  <c r="AG183" i="1"/>
  <c r="Q183" i="1"/>
  <c r="T183" i="1" l="1"/>
  <c r="G184" i="1"/>
  <c r="F184" i="1"/>
  <c r="I184" i="1" l="1"/>
  <c r="K184" i="1" l="1"/>
  <c r="C185" i="1" s="1"/>
  <c r="N184" i="1" s="1"/>
  <c r="AH184" i="1" s="1"/>
  <c r="J184" i="1"/>
  <c r="B185" i="1" s="1"/>
  <c r="M184" i="1" s="1"/>
  <c r="AG184" i="1" s="1"/>
  <c r="L184" i="1"/>
  <c r="D185" i="1" s="1"/>
  <c r="O184" i="1" l="1"/>
  <c r="P184" i="1"/>
  <c r="AI184" i="1" s="1"/>
  <c r="AB185" i="1"/>
  <c r="AE187" i="1"/>
  <c r="X184" i="1" l="1"/>
  <c r="U184" i="1" s="1"/>
  <c r="Z185" i="1"/>
  <c r="AA185" i="1"/>
  <c r="AJ185" i="1" s="1"/>
  <c r="H185" i="1"/>
  <c r="E185" i="1"/>
  <c r="Q184" i="1"/>
  <c r="Y185" i="1"/>
  <c r="T184" i="1" l="1"/>
  <c r="G185" i="1"/>
  <c r="F185" i="1"/>
  <c r="I185" i="1" l="1"/>
  <c r="K185" i="1" l="1"/>
  <c r="C186" i="1" s="1"/>
  <c r="N185" i="1" s="1"/>
  <c r="J185" i="1"/>
  <c r="B186" i="1" s="1"/>
  <c r="L185" i="1"/>
  <c r="D186" i="1" s="1"/>
  <c r="AC187" i="1"/>
  <c r="O185" i="1" l="1"/>
  <c r="AH185" i="1"/>
  <c r="AB186" i="1"/>
  <c r="P185" i="1"/>
  <c r="AI185" i="1" s="1"/>
  <c r="M185" i="1"/>
  <c r="AG185" i="1" s="1"/>
  <c r="Q185" i="1" l="1"/>
  <c r="X185" i="1"/>
  <c r="U185" i="1" s="1"/>
  <c r="E186" i="1"/>
  <c r="Y186" i="1"/>
  <c r="H186" i="1"/>
  <c r="AA186" i="1"/>
  <c r="AJ186" i="1" s="1"/>
  <c r="Z186" i="1"/>
  <c r="T185" i="1" l="1"/>
  <c r="G186" i="1"/>
  <c r="F186" i="1"/>
  <c r="AD187" i="1"/>
  <c r="I186" i="1" l="1"/>
  <c r="L186" i="1" l="1"/>
  <c r="D187" i="1" s="1"/>
  <c r="K186" i="1"/>
  <c r="C187" i="1" s="1"/>
  <c r="N186" i="1" s="1"/>
  <c r="J186" i="1"/>
  <c r="B187" i="1" s="1"/>
  <c r="M186" i="1" s="1"/>
  <c r="AG186" i="1" s="1"/>
  <c r="O186" i="1" l="1"/>
  <c r="AH186" i="1"/>
  <c r="AB187" i="1"/>
  <c r="P186" i="1"/>
  <c r="AI186" i="1" s="1"/>
  <c r="H187" i="1" l="1"/>
  <c r="E187" i="1"/>
  <c r="Q186" i="1"/>
  <c r="AA187" i="1"/>
  <c r="AJ187" i="1" s="1"/>
  <c r="X186" i="1"/>
  <c r="Y187" i="1"/>
  <c r="Z187" i="1"/>
  <c r="U186" i="1" l="1"/>
  <c r="T186" i="1"/>
  <c r="F187" i="1"/>
  <c r="G187" i="1"/>
  <c r="I187" i="1" l="1"/>
  <c r="J187" i="1" l="1"/>
  <c r="B188" i="1" s="1"/>
  <c r="K187" i="1"/>
  <c r="C188" i="1" s="1"/>
  <c r="N187" i="1" s="1"/>
  <c r="L187" i="1"/>
  <c r="D188" i="1" s="1"/>
  <c r="O187" i="1" l="1"/>
  <c r="AH187" i="1"/>
  <c r="M187" i="1"/>
  <c r="AG187" i="1" s="1"/>
  <c r="AB188" i="1"/>
  <c r="P187" i="1"/>
  <c r="AI187" i="1" s="1"/>
  <c r="Z188" i="1" l="1"/>
  <c r="X187" i="1"/>
  <c r="U187" i="1" s="1"/>
  <c r="E188" i="1"/>
  <c r="Y188" i="1"/>
  <c r="H188" i="1"/>
  <c r="AA188" i="1"/>
  <c r="AJ188" i="1" s="1"/>
  <c r="Q187" i="1"/>
  <c r="T187" i="1" l="1"/>
  <c r="G188" i="1"/>
  <c r="F188" i="1"/>
  <c r="I188" i="1" l="1"/>
  <c r="K188" i="1" s="1"/>
  <c r="C189" i="1" s="1"/>
  <c r="N188" i="1" s="1"/>
  <c r="O188" i="1" l="1"/>
  <c r="AH188" i="1"/>
  <c r="J188" i="1"/>
  <c r="B189" i="1" s="1"/>
  <c r="M188" i="1" s="1"/>
  <c r="AG188" i="1" s="1"/>
  <c r="L188" i="1"/>
  <c r="D189" i="1" s="1"/>
  <c r="AB189" i="1" s="1"/>
  <c r="P188" i="1" l="1"/>
  <c r="AI188" i="1" s="1"/>
  <c r="Q188" i="1" l="1"/>
  <c r="Y189" i="1"/>
  <c r="AA189" i="1"/>
  <c r="AJ189" i="1" s="1"/>
  <c r="Z189" i="1"/>
  <c r="E189" i="1"/>
  <c r="G189" i="1" s="1"/>
  <c r="H189" i="1"/>
  <c r="X188" i="1"/>
  <c r="U188" i="1" s="1"/>
  <c r="F189" i="1" l="1"/>
  <c r="I189" i="1" s="1"/>
  <c r="T188" i="1"/>
  <c r="L189" i="1" l="1"/>
  <c r="D190" i="1" s="1"/>
  <c r="J189" i="1"/>
  <c r="B190" i="1" s="1"/>
  <c r="M189" i="1" s="1"/>
  <c r="AG189" i="1" s="1"/>
  <c r="K189" i="1"/>
  <c r="C190" i="1" s="1"/>
  <c r="N189" i="1" s="1"/>
  <c r="O189" i="1" l="1"/>
  <c r="AH189" i="1"/>
  <c r="AB190" i="1"/>
  <c r="P189" i="1"/>
  <c r="AI189" i="1" s="1"/>
  <c r="Z190" i="1" l="1"/>
  <c r="E190" i="1"/>
  <c r="Y190" i="1"/>
  <c r="Q189" i="1"/>
  <c r="X189" i="1"/>
  <c r="U189" i="1" s="1"/>
  <c r="H190" i="1"/>
  <c r="AA190" i="1"/>
  <c r="AJ190" i="1" s="1"/>
  <c r="T189" i="1" l="1"/>
  <c r="F190" i="1"/>
  <c r="G190" i="1"/>
  <c r="I190" i="1" l="1"/>
  <c r="L190" i="1" s="1"/>
  <c r="D191" i="1" s="1"/>
  <c r="AB191" i="1" s="1"/>
  <c r="P190" i="1"/>
  <c r="AI190" i="1" s="1"/>
  <c r="J190" i="1" l="1"/>
  <c r="B191" i="1" s="1"/>
  <c r="M190" i="1" s="1"/>
  <c r="K190" i="1"/>
  <c r="C191" i="1" s="1"/>
  <c r="N190" i="1" s="1"/>
  <c r="AA191" i="1"/>
  <c r="AJ191" i="1" s="1"/>
  <c r="X190" i="1"/>
  <c r="Z191" i="1"/>
  <c r="Y191" i="1"/>
  <c r="E191" i="1"/>
  <c r="H191" i="1"/>
  <c r="U190" i="1" l="1"/>
  <c r="O190" i="1"/>
  <c r="AH190" i="1"/>
  <c r="Q190" i="1"/>
  <c r="T190" i="1" s="1"/>
  <c r="AG190" i="1"/>
  <c r="F191" i="1"/>
  <c r="G191" i="1"/>
  <c r="I191" i="1" l="1"/>
  <c r="K191" i="1" l="1"/>
  <c r="C192" i="1" s="1"/>
  <c r="N191" i="1" s="1"/>
  <c r="L191" i="1"/>
  <c r="D192" i="1" s="1"/>
  <c r="J191" i="1"/>
  <c r="B192" i="1" s="1"/>
  <c r="M191" i="1" s="1"/>
  <c r="AG191" i="1" s="1"/>
  <c r="O191" i="1" l="1"/>
  <c r="AH191" i="1"/>
  <c r="AB192" i="1"/>
  <c r="P191" i="1"/>
  <c r="AI191" i="1" s="1"/>
  <c r="E192" i="1" l="1"/>
  <c r="X191" i="1"/>
  <c r="U191" i="1" s="1"/>
  <c r="AA192" i="1"/>
  <c r="AJ192" i="1" s="1"/>
  <c r="Y192" i="1"/>
  <c r="Z192" i="1"/>
  <c r="Q191" i="1"/>
  <c r="H192" i="1"/>
  <c r="T191" i="1" l="1"/>
  <c r="F192" i="1"/>
  <c r="G192" i="1"/>
  <c r="I192" i="1" l="1"/>
  <c r="L192" i="1" l="1"/>
  <c r="D193" i="1" s="1"/>
  <c r="J192" i="1"/>
  <c r="B193" i="1" s="1"/>
  <c r="M192" i="1" s="1"/>
  <c r="AG192" i="1" s="1"/>
  <c r="K192" i="1"/>
  <c r="C193" i="1" s="1"/>
  <c r="N192" i="1" s="1"/>
  <c r="O192" i="1" l="1"/>
  <c r="AH192" i="1"/>
  <c r="AB193" i="1"/>
  <c r="P192" i="1"/>
  <c r="AI192" i="1" s="1"/>
  <c r="Z193" i="1" l="1"/>
  <c r="AA193" i="1"/>
  <c r="AJ193" i="1" s="1"/>
  <c r="Y193" i="1"/>
  <c r="X192" i="1"/>
  <c r="U192" i="1" s="1"/>
  <c r="H193" i="1"/>
  <c r="E193" i="1"/>
  <c r="Q192" i="1"/>
  <c r="T192" i="1" l="1"/>
  <c r="G193" i="1"/>
  <c r="F193" i="1"/>
  <c r="I193" i="1" l="1"/>
  <c r="AE207" i="1"/>
  <c r="J193" i="1" l="1"/>
  <c r="B194" i="1" s="1"/>
  <c r="M193" i="1" s="1"/>
  <c r="AG193" i="1" s="1"/>
  <c r="L193" i="1"/>
  <c r="D194" i="1" s="1"/>
  <c r="K193" i="1"/>
  <c r="C194" i="1" s="1"/>
  <c r="N193" i="1" s="1"/>
  <c r="O193" i="1" l="1"/>
  <c r="AH193" i="1"/>
  <c r="AB194" i="1"/>
  <c r="P193" i="1"/>
  <c r="AI193" i="1" s="1"/>
  <c r="Z194" i="1" l="1"/>
  <c r="X193" i="1"/>
  <c r="U193" i="1" s="1"/>
  <c r="H194" i="1"/>
  <c r="Y194" i="1"/>
  <c r="AA194" i="1"/>
  <c r="AJ194" i="1" s="1"/>
  <c r="Q193" i="1"/>
  <c r="E194" i="1"/>
  <c r="T193" i="1" l="1"/>
  <c r="F194" i="1"/>
  <c r="G194" i="1"/>
  <c r="I194" i="1" l="1"/>
  <c r="K194" i="1" l="1"/>
  <c r="C195" i="1" s="1"/>
  <c r="N194" i="1" s="1"/>
  <c r="L194" i="1"/>
  <c r="D195" i="1" s="1"/>
  <c r="J194" i="1"/>
  <c r="B195" i="1" s="1"/>
  <c r="M194" i="1" s="1"/>
  <c r="AG194" i="1" s="1"/>
  <c r="AB195" i="1" l="1"/>
  <c r="P194" i="1"/>
  <c r="O194" i="1"/>
  <c r="AH194" i="1"/>
  <c r="AI194" i="1" l="1"/>
  <c r="Z195" i="1"/>
  <c r="AA195" i="1"/>
  <c r="AJ195" i="1" s="1"/>
  <c r="Q194" i="1"/>
  <c r="E195" i="1"/>
  <c r="Y195" i="1"/>
  <c r="H195" i="1"/>
  <c r="X194" i="1"/>
  <c r="AI195" i="1"/>
  <c r="T194" i="1" l="1"/>
  <c r="U194" i="1"/>
  <c r="G195" i="1"/>
  <c r="F195" i="1"/>
  <c r="AH195" i="1"/>
  <c r="I195" i="1" l="1"/>
  <c r="J195" i="1" l="1"/>
  <c r="B196" i="1" s="1"/>
  <c r="K195" i="1"/>
  <c r="C196" i="1" s="1"/>
  <c r="N195" i="1" s="1"/>
  <c r="O195" i="1" s="1"/>
  <c r="L195" i="1"/>
  <c r="D196" i="1" s="1"/>
  <c r="AH196" i="1"/>
  <c r="AB196" i="1" l="1"/>
  <c r="P195" i="1"/>
  <c r="M195" i="1"/>
  <c r="AG195" i="1" s="1"/>
  <c r="AA196" i="1" l="1"/>
  <c r="AJ196" i="1" s="1"/>
  <c r="Y196" i="1"/>
  <c r="H196" i="1"/>
  <c r="Q195" i="1"/>
  <c r="X195" i="1"/>
  <c r="Z196" i="1"/>
  <c r="E196" i="1"/>
  <c r="F196" i="1" l="1"/>
  <c r="G196" i="1"/>
  <c r="U195" i="1"/>
  <c r="T195" i="1"/>
  <c r="I196" i="1" l="1"/>
  <c r="K196" i="1" s="1"/>
  <c r="C197" i="1" s="1"/>
  <c r="N196" i="1" s="1"/>
  <c r="O196" i="1" s="1"/>
  <c r="L196" i="1" l="1"/>
  <c r="D197" i="1" s="1"/>
  <c r="AB197" i="1" s="1"/>
  <c r="J196" i="1"/>
  <c r="B197" i="1" s="1"/>
  <c r="P196" i="1"/>
  <c r="M196" i="1"/>
  <c r="AG196" i="1" s="1"/>
  <c r="AH197" i="1"/>
  <c r="AI196" i="1" l="1"/>
  <c r="X196" i="1"/>
  <c r="H197" i="1"/>
  <c r="E197" i="1"/>
  <c r="Z197" i="1"/>
  <c r="Q196" i="1"/>
  <c r="Y197" i="1"/>
  <c r="AA197" i="1"/>
  <c r="AJ197" i="1" s="1"/>
  <c r="F197" i="1" l="1"/>
  <c r="G197" i="1"/>
  <c r="U196" i="1"/>
  <c r="T196" i="1"/>
  <c r="I197" i="1" l="1"/>
  <c r="L197" i="1" s="1"/>
  <c r="D198" i="1" s="1"/>
  <c r="AB198" i="1" s="1"/>
  <c r="P197" i="1"/>
  <c r="K197" i="1" l="1"/>
  <c r="C198" i="1" s="1"/>
  <c r="N197" i="1" s="1"/>
  <c r="O197" i="1" s="1"/>
  <c r="J197" i="1"/>
  <c r="B198" i="1" s="1"/>
  <c r="M197" i="1" s="1"/>
  <c r="AG197" i="1" s="1"/>
  <c r="AI197" i="1"/>
  <c r="H198" i="1"/>
  <c r="E198" i="1"/>
  <c r="Z198" i="1"/>
  <c r="AA198" i="1"/>
  <c r="AJ198" i="1" s="1"/>
  <c r="X197" i="1"/>
  <c r="Y198" i="1"/>
  <c r="Q197" i="1" l="1"/>
  <c r="U197" i="1"/>
  <c r="T197" i="1"/>
  <c r="G198" i="1"/>
  <c r="F198" i="1"/>
  <c r="AH198" i="1"/>
  <c r="I198" i="1" l="1"/>
  <c r="K198" i="1" s="1"/>
  <c r="C199" i="1" s="1"/>
  <c r="N198" i="1" s="1"/>
  <c r="J198" i="1" l="1"/>
  <c r="B199" i="1" s="1"/>
  <c r="L198" i="1"/>
  <c r="D199" i="1" s="1"/>
  <c r="AB199" i="1" s="1"/>
  <c r="M198" i="1"/>
  <c r="AG198" i="1" s="1"/>
  <c r="P198" i="1"/>
  <c r="O198" i="1"/>
  <c r="AH199" i="1"/>
  <c r="AG199" i="1"/>
  <c r="AI198" i="1" l="1"/>
  <c r="Y199" i="1"/>
  <c r="X198" i="1"/>
  <c r="U198" i="1" s="1"/>
  <c r="AA199" i="1"/>
  <c r="AJ199" i="1" s="1"/>
  <c r="H199" i="1"/>
  <c r="Z199" i="1"/>
  <c r="E199" i="1"/>
  <c r="Q198" i="1"/>
  <c r="F199" i="1" l="1"/>
  <c r="G199" i="1"/>
  <c r="T198" i="1"/>
  <c r="AI205" i="1"/>
  <c r="AH200" i="1"/>
  <c r="I199" i="1" l="1"/>
  <c r="L199" i="1" l="1"/>
  <c r="D200" i="1" s="1"/>
  <c r="J199" i="1"/>
  <c r="B200" i="1" s="1"/>
  <c r="K199" i="1"/>
  <c r="C200" i="1" s="1"/>
  <c r="N199" i="1" s="1"/>
  <c r="AH201" i="1"/>
  <c r="AG201" i="1"/>
  <c r="O199" i="1" l="1"/>
  <c r="M199" i="1"/>
  <c r="AB200" i="1"/>
  <c r="P199" i="1"/>
  <c r="AI199" i="1" l="1"/>
  <c r="E200" i="1"/>
  <c r="Y200" i="1"/>
  <c r="H200" i="1"/>
  <c r="AA200" i="1"/>
  <c r="AJ200" i="1" s="1"/>
  <c r="X199" i="1"/>
  <c r="U199" i="1" s="1"/>
  <c r="Z200" i="1"/>
  <c r="Q199" i="1"/>
  <c r="AG202" i="1"/>
  <c r="AH202" i="1"/>
  <c r="F200" i="1" l="1"/>
  <c r="G200" i="1"/>
  <c r="T199" i="1"/>
  <c r="I200" i="1" l="1"/>
  <c r="AG203" i="1"/>
  <c r="AH203" i="1"/>
  <c r="J200" i="1" l="1"/>
  <c r="B201" i="1" s="1"/>
  <c r="K200" i="1"/>
  <c r="C201" i="1" s="1"/>
  <c r="N200" i="1" s="1"/>
  <c r="L200" i="1"/>
  <c r="D201" i="1" s="1"/>
  <c r="AH204" i="1"/>
  <c r="AB201" i="1" l="1"/>
  <c r="P200" i="1"/>
  <c r="O200" i="1"/>
  <c r="M200" i="1"/>
  <c r="AG200" i="1" s="1"/>
  <c r="AG204" i="1"/>
  <c r="AD207" i="1"/>
  <c r="AC207" i="1"/>
  <c r="AI200" i="1" l="1"/>
  <c r="H201" i="1"/>
  <c r="X200" i="1"/>
  <c r="U200" i="1" s="1"/>
  <c r="Y201" i="1"/>
  <c r="Z201" i="1"/>
  <c r="AA201" i="1"/>
  <c r="AJ201" i="1" s="1"/>
  <c r="E201" i="1"/>
  <c r="Q200" i="1"/>
  <c r="AH205" i="1"/>
  <c r="T200" i="1" l="1"/>
  <c r="G201" i="1"/>
  <c r="F201" i="1"/>
  <c r="AG205" i="1"/>
  <c r="I201" i="1" l="1"/>
  <c r="AH206" i="1"/>
  <c r="K201" i="1" l="1"/>
  <c r="C202" i="1" s="1"/>
  <c r="N201" i="1" s="1"/>
  <c r="J201" i="1"/>
  <c r="B202" i="1" s="1"/>
  <c r="L201" i="1"/>
  <c r="D202" i="1" s="1"/>
  <c r="AG206" i="1"/>
  <c r="M201" i="1" l="1"/>
  <c r="AB202" i="1"/>
  <c r="P201" i="1"/>
  <c r="O201" i="1"/>
  <c r="AH207" i="1"/>
  <c r="AI201" i="1" l="1"/>
  <c r="X201" i="1"/>
  <c r="U201" i="1" s="1"/>
  <c r="Z202" i="1"/>
  <c r="Y202" i="1"/>
  <c r="AA202" i="1"/>
  <c r="AJ202" i="1" s="1"/>
  <c r="E202" i="1"/>
  <c r="H202" i="1"/>
  <c r="Q201" i="1"/>
  <c r="AG207" i="1"/>
  <c r="T201" i="1" l="1"/>
  <c r="F202" i="1"/>
  <c r="G202" i="1"/>
  <c r="AH208" i="1"/>
  <c r="I202" i="1" l="1"/>
  <c r="L202" i="1" s="1"/>
  <c r="D203" i="1" s="1"/>
  <c r="AB203" i="1" s="1"/>
  <c r="P202" i="1"/>
  <c r="AG208" i="1"/>
  <c r="K202" i="1" l="1"/>
  <c r="C203" i="1" s="1"/>
  <c r="N202" i="1" s="1"/>
  <c r="O202" i="1" s="1"/>
  <c r="J202" i="1"/>
  <c r="B203" i="1" s="1"/>
  <c r="M202" i="1"/>
  <c r="AI202" i="1"/>
  <c r="AA203" i="1"/>
  <c r="AJ203" i="1" s="1"/>
  <c r="X202" i="1"/>
  <c r="U202" i="1" s="1"/>
  <c r="E203" i="1"/>
  <c r="H203" i="1"/>
  <c r="Y203" i="1"/>
  <c r="Z203" i="1"/>
  <c r="Q202" i="1"/>
  <c r="AH209" i="1"/>
  <c r="T202" i="1" l="1"/>
  <c r="G203" i="1"/>
  <c r="F203" i="1"/>
  <c r="AG209" i="1"/>
  <c r="I203" i="1" l="1"/>
  <c r="L203" i="1" s="1"/>
  <c r="D204" i="1" s="1"/>
  <c r="AB204" i="1" s="1"/>
  <c r="P203" i="1"/>
  <c r="AG210" i="1"/>
  <c r="AH210" i="1"/>
  <c r="J203" i="1" l="1"/>
  <c r="B204" i="1" s="1"/>
  <c r="K203" i="1"/>
  <c r="C204" i="1" s="1"/>
  <c r="N203" i="1" s="1"/>
  <c r="O203" i="1" s="1"/>
  <c r="M203" i="1"/>
  <c r="AI203" i="1"/>
  <c r="Y204" i="1"/>
  <c r="X203" i="1"/>
  <c r="U203" i="1" s="1"/>
  <c r="E204" i="1"/>
  <c r="AA204" i="1"/>
  <c r="AJ204" i="1" s="1"/>
  <c r="Z204" i="1"/>
  <c r="H204" i="1"/>
  <c r="Q203" i="1"/>
  <c r="AG211" i="1"/>
  <c r="T203" i="1" l="1"/>
  <c r="G204" i="1"/>
  <c r="F204" i="1"/>
  <c r="AH211" i="1"/>
  <c r="I204" i="1" l="1"/>
  <c r="K204" i="1" s="1"/>
  <c r="C205" i="1" s="1"/>
  <c r="N204" i="1" s="1"/>
  <c r="O204" i="1" s="1"/>
  <c r="AG212" i="1"/>
  <c r="J204" i="1" l="1"/>
  <c r="B205" i="1" s="1"/>
  <c r="L204" i="1"/>
  <c r="D205" i="1" s="1"/>
  <c r="AB205" i="1" s="1"/>
  <c r="M204" i="1"/>
  <c r="P204" i="1"/>
  <c r="AH212" i="1"/>
  <c r="AI204" i="1" l="1"/>
  <c r="AA205" i="1"/>
  <c r="AJ205" i="1" s="1"/>
  <c r="Z205" i="1"/>
  <c r="X204" i="1"/>
  <c r="U204" i="1" s="1"/>
  <c r="Y205" i="1"/>
  <c r="H205" i="1"/>
  <c r="E205" i="1"/>
  <c r="Q204" i="1"/>
  <c r="T204" i="1" s="1"/>
  <c r="G205" i="1" l="1"/>
  <c r="F205" i="1"/>
  <c r="I205" i="1" l="1"/>
  <c r="K205" i="1" s="1"/>
  <c r="C206" i="1" s="1"/>
  <c r="N205" i="1" s="1"/>
  <c r="O205" i="1" s="1"/>
  <c r="AG213" i="1"/>
  <c r="AH213" i="1"/>
  <c r="L205" i="1" l="1"/>
  <c r="D206" i="1" s="1"/>
  <c r="AB206" i="1" s="1"/>
  <c r="J205" i="1"/>
  <c r="B206" i="1" s="1"/>
  <c r="M205" i="1"/>
  <c r="P205" i="1"/>
  <c r="P206" i="1" l="1"/>
  <c r="Z206" i="1"/>
  <c r="Y206" i="1"/>
  <c r="X205" i="1"/>
  <c r="U205" i="1" s="1"/>
  <c r="H206" i="1"/>
  <c r="AA206" i="1"/>
  <c r="AJ206" i="1" s="1"/>
  <c r="E206" i="1"/>
  <c r="Q205" i="1"/>
  <c r="M206" i="1"/>
  <c r="AH214" i="1"/>
  <c r="AG214" i="1"/>
  <c r="T205" i="1" l="1"/>
  <c r="G206" i="1"/>
  <c r="F206" i="1"/>
  <c r="AI206" i="1"/>
  <c r="X206" i="1"/>
  <c r="P207" i="1"/>
  <c r="Z207" i="1"/>
  <c r="H207" i="1"/>
  <c r="E207" i="1"/>
  <c r="Y207" i="1"/>
  <c r="AA207" i="1"/>
  <c r="AJ207" i="1" s="1"/>
  <c r="Q206" i="1"/>
  <c r="M207" i="1"/>
  <c r="I206" i="1" l="1"/>
  <c r="J206" i="1" s="1"/>
  <c r="B207" i="1" s="1"/>
  <c r="AI207" i="1"/>
  <c r="P208" i="1"/>
  <c r="X207" i="1"/>
  <c r="E208" i="1"/>
  <c r="AA208" i="1"/>
  <c r="AJ208" i="1" s="1"/>
  <c r="Y208" i="1"/>
  <c r="Z208" i="1"/>
  <c r="H208" i="1"/>
  <c r="Q207" i="1"/>
  <c r="M208" i="1"/>
  <c r="G207" i="1"/>
  <c r="F207" i="1"/>
  <c r="T206" i="1"/>
  <c r="K206" i="1" l="1"/>
  <c r="C207" i="1" s="1"/>
  <c r="N206" i="1" s="1"/>
  <c r="O206" i="1" s="1"/>
  <c r="L206" i="1"/>
  <c r="D207" i="1" s="1"/>
  <c r="AB207" i="1" s="1"/>
  <c r="T207" i="1"/>
  <c r="F208" i="1"/>
  <c r="G208" i="1"/>
  <c r="U206" i="1"/>
  <c r="AI208" i="1"/>
  <c r="P209" i="1"/>
  <c r="X208" i="1"/>
  <c r="Y209" i="1"/>
  <c r="H209" i="1"/>
  <c r="AA209" i="1"/>
  <c r="AJ209" i="1" s="1"/>
  <c r="E209" i="1"/>
  <c r="Z209" i="1"/>
  <c r="Q208" i="1"/>
  <c r="M209" i="1"/>
  <c r="AH215" i="1"/>
  <c r="I207" i="1" l="1"/>
  <c r="J207" i="1" s="1"/>
  <c r="B208" i="1" s="1"/>
  <c r="F209" i="1"/>
  <c r="G209" i="1"/>
  <c r="T208" i="1"/>
  <c r="AI209" i="1"/>
  <c r="P210" i="1"/>
  <c r="X209" i="1"/>
  <c r="Z210" i="1"/>
  <c r="H210" i="1"/>
  <c r="Y210" i="1"/>
  <c r="AA210" i="1"/>
  <c r="AJ210" i="1" s="1"/>
  <c r="E210" i="1"/>
  <c r="Q209" i="1"/>
  <c r="U207" i="1"/>
  <c r="AG215" i="1"/>
  <c r="L207" i="1" l="1"/>
  <c r="D208" i="1" s="1"/>
  <c r="AB208" i="1" s="1"/>
  <c r="K207" i="1"/>
  <c r="C208" i="1" s="1"/>
  <c r="N207" i="1" s="1"/>
  <c r="O207" i="1" s="1"/>
  <c r="T209" i="1"/>
  <c r="AI210" i="1"/>
  <c r="P211" i="1"/>
  <c r="X210" i="1"/>
  <c r="Y211" i="1"/>
  <c r="AA211" i="1"/>
  <c r="AJ211" i="1" s="1"/>
  <c r="E211" i="1"/>
  <c r="H211" i="1"/>
  <c r="Z211" i="1"/>
  <c r="F210" i="1"/>
  <c r="G210" i="1"/>
  <c r="U208" i="1"/>
  <c r="AH216" i="1"/>
  <c r="I208" i="1" l="1"/>
  <c r="F211" i="1"/>
  <c r="G211" i="1"/>
  <c r="AI211" i="1"/>
  <c r="X211" i="1"/>
  <c r="U211" i="1" s="1"/>
  <c r="P212" i="1"/>
  <c r="Y212" i="1"/>
  <c r="Z212" i="1"/>
  <c r="H212" i="1"/>
  <c r="AA212" i="1"/>
  <c r="AJ212" i="1" s="1"/>
  <c r="E212" i="1"/>
  <c r="AG216" i="1"/>
  <c r="J208" i="1" l="1"/>
  <c r="B209" i="1" s="1"/>
  <c r="K208" i="1"/>
  <c r="C209" i="1" s="1"/>
  <c r="N208" i="1" s="1"/>
  <c r="O208" i="1" s="1"/>
  <c r="L208" i="1"/>
  <c r="D209" i="1" s="1"/>
  <c r="AB209" i="1" s="1"/>
  <c r="G212" i="1"/>
  <c r="F212" i="1"/>
  <c r="AI212" i="1"/>
  <c r="X212" i="1"/>
  <c r="U212" i="1" s="1"/>
  <c r="P213" i="1"/>
  <c r="Z213" i="1"/>
  <c r="E213" i="1"/>
  <c r="H213" i="1"/>
  <c r="AA213" i="1"/>
  <c r="AJ213" i="1" s="1"/>
  <c r="Y213" i="1"/>
  <c r="U209" i="1"/>
  <c r="I209" i="1" l="1"/>
  <c r="G213" i="1"/>
  <c r="F213" i="1"/>
  <c r="AI213" i="1"/>
  <c r="X213" i="1"/>
  <c r="U213" i="1" s="1"/>
  <c r="P214" i="1"/>
  <c r="Z214" i="1"/>
  <c r="AA214" i="1"/>
  <c r="AJ214" i="1" s="1"/>
  <c r="Y214" i="1"/>
  <c r="H214" i="1"/>
  <c r="E214" i="1"/>
  <c r="L209" i="1" l="1"/>
  <c r="D210" i="1" s="1"/>
  <c r="AB210" i="1" s="1"/>
  <c r="K209" i="1"/>
  <c r="C210" i="1" s="1"/>
  <c r="N209" i="1" s="1"/>
  <c r="O209" i="1" s="1"/>
  <c r="J209" i="1"/>
  <c r="B210" i="1" s="1"/>
  <c r="AI214" i="1"/>
  <c r="P215" i="1"/>
  <c r="X214" i="1"/>
  <c r="U214" i="1" s="1"/>
  <c r="H215" i="1"/>
  <c r="Y215" i="1"/>
  <c r="AA215" i="1"/>
  <c r="AJ215" i="1" s="1"/>
  <c r="E215" i="1"/>
  <c r="Z215" i="1"/>
  <c r="M210" i="1"/>
  <c r="Q210" i="1" s="1"/>
  <c r="T210" i="1" s="1"/>
  <c r="U210" i="1"/>
  <c r="F214" i="1"/>
  <c r="G214" i="1"/>
  <c r="I210" i="1" l="1"/>
  <c r="K210" i="1" s="1"/>
  <c r="C211" i="1" s="1"/>
  <c r="N210" i="1" s="1"/>
  <c r="O210" i="1" s="1"/>
  <c r="AI215" i="1"/>
  <c r="X215" i="1"/>
  <c r="U215" i="1" s="1"/>
  <c r="P216" i="1"/>
  <c r="AA216" i="1"/>
  <c r="AJ216" i="1" s="1"/>
  <c r="Y216" i="1"/>
  <c r="E216" i="1"/>
  <c r="H216" i="1"/>
  <c r="Z216" i="1"/>
  <c r="G215" i="1"/>
  <c r="F215" i="1"/>
  <c r="AH217" i="1"/>
  <c r="J210" i="1" l="1"/>
  <c r="B211" i="1" s="1"/>
  <c r="L210" i="1"/>
  <c r="D211" i="1" s="1"/>
  <c r="AB211" i="1" s="1"/>
  <c r="M211" i="1"/>
  <c r="Q211" i="1" s="1"/>
  <c r="T211" i="1" s="1"/>
  <c r="AI216" i="1"/>
  <c r="X216" i="1"/>
  <c r="U216" i="1" s="1"/>
  <c r="P217" i="1"/>
  <c r="AA217" i="1"/>
  <c r="AJ217" i="1" s="1"/>
  <c r="Y217" i="1"/>
  <c r="H217" i="1"/>
  <c r="E217" i="1"/>
  <c r="Z217" i="1"/>
  <c r="G216" i="1"/>
  <c r="F216" i="1"/>
  <c r="AG217" i="1"/>
  <c r="I211" i="1" l="1"/>
  <c r="K211" i="1" s="1"/>
  <c r="C212" i="1" s="1"/>
  <c r="N211" i="1" s="1"/>
  <c r="O211" i="1" s="1"/>
  <c r="G217" i="1"/>
  <c r="F217" i="1"/>
  <c r="AI217" i="1"/>
  <c r="X217" i="1"/>
  <c r="U217" i="1" s="1"/>
  <c r="P218" i="1"/>
  <c r="Y218" i="1"/>
  <c r="H218" i="1"/>
  <c r="E218" i="1"/>
  <c r="Z218" i="1"/>
  <c r="AA218" i="1"/>
  <c r="AJ218" i="1" s="1"/>
  <c r="AG218" i="1"/>
  <c r="AH218" i="1"/>
  <c r="J211" i="1" l="1"/>
  <c r="B212" i="1" s="1"/>
  <c r="L211" i="1"/>
  <c r="D212" i="1" s="1"/>
  <c r="AB212" i="1" s="1"/>
  <c r="M212" i="1"/>
  <c r="Q212" i="1" s="1"/>
  <c r="T212" i="1" s="1"/>
  <c r="AI218" i="1"/>
  <c r="P219" i="1"/>
  <c r="X218" i="1"/>
  <c r="U218" i="1" s="1"/>
  <c r="G218" i="1"/>
  <c r="F218" i="1"/>
  <c r="AA219" i="1"/>
  <c r="AJ219" i="1" s="1"/>
  <c r="E219" i="1"/>
  <c r="Z219" i="1"/>
  <c r="Y219" i="1"/>
  <c r="H219" i="1"/>
  <c r="I212" i="1" l="1"/>
  <c r="L212" i="1" s="1"/>
  <c r="D213" i="1" s="1"/>
  <c r="AB213" i="1" s="1"/>
  <c r="AI219" i="1"/>
  <c r="P220" i="1"/>
  <c r="X219" i="1"/>
  <c r="H220" i="1"/>
  <c r="AA220" i="1"/>
  <c r="AJ220" i="1" s="1"/>
  <c r="Z220" i="1"/>
  <c r="E220" i="1"/>
  <c r="Y220" i="1"/>
  <c r="G219" i="1"/>
  <c r="F219" i="1"/>
  <c r="J212" i="1" l="1"/>
  <c r="B213" i="1" s="1"/>
  <c r="K212" i="1"/>
  <c r="C213" i="1" s="1"/>
  <c r="N212" i="1" s="1"/>
  <c r="O212" i="1" s="1"/>
  <c r="M213" i="1"/>
  <c r="Q213" i="1" s="1"/>
  <c r="T213" i="1" s="1"/>
  <c r="AI220" i="1"/>
  <c r="P221" i="1"/>
  <c r="X220" i="1"/>
  <c r="F220" i="1"/>
  <c r="G220" i="1"/>
  <c r="I213" i="1" l="1"/>
  <c r="J213" i="1"/>
  <c r="B214" i="1" s="1"/>
  <c r="K213" i="1"/>
  <c r="C214" i="1" s="1"/>
  <c r="N213" i="1" s="1"/>
  <c r="O213" i="1" s="1"/>
  <c r="L213" i="1"/>
  <c r="D214" i="1" s="1"/>
  <c r="AB214" i="1" s="1"/>
  <c r="AI221" i="1"/>
  <c r="X221" i="1"/>
  <c r="P222" i="1"/>
  <c r="AG219" i="1"/>
  <c r="I214" i="1" l="1"/>
  <c r="K214" i="1"/>
  <c r="C215" i="1" s="1"/>
  <c r="N214" i="1" s="1"/>
  <c r="O214" i="1" s="1"/>
  <c r="L214" i="1"/>
  <c r="D215" i="1" s="1"/>
  <c r="AB215" i="1" s="1"/>
  <c r="J214" i="1"/>
  <c r="B215" i="1" s="1"/>
  <c r="AI222" i="1"/>
  <c r="P223" i="1"/>
  <c r="X222" i="1"/>
  <c r="M214" i="1"/>
  <c r="U219" i="1"/>
  <c r="AH219" i="1"/>
  <c r="I215" i="1" l="1"/>
  <c r="M215" i="1"/>
  <c r="Q214" i="1"/>
  <c r="T214" i="1" s="1"/>
  <c r="AI223" i="1"/>
  <c r="P224" i="1"/>
  <c r="X223" i="1"/>
  <c r="L215" i="1"/>
  <c r="D216" i="1" s="1"/>
  <c r="AB216" i="1" s="1"/>
  <c r="K215" i="1"/>
  <c r="C216" i="1" s="1"/>
  <c r="N215" i="1" s="1"/>
  <c r="O215" i="1" s="1"/>
  <c r="J215" i="1"/>
  <c r="B216" i="1" s="1"/>
  <c r="U220" i="1"/>
  <c r="AH220" i="1"/>
  <c r="E221" i="1"/>
  <c r="AA221" i="1"/>
  <c r="AJ221" i="1" s="1"/>
  <c r="H221" i="1"/>
  <c r="Y221" i="1"/>
  <c r="Z221" i="1"/>
  <c r="I216" i="1" l="1"/>
  <c r="AI224" i="1"/>
  <c r="P225" i="1"/>
  <c r="X224" i="1"/>
  <c r="Q215" i="1"/>
  <c r="T215" i="1" s="1"/>
  <c r="M216" i="1"/>
  <c r="AG220" i="1"/>
  <c r="AA222" i="1"/>
  <c r="AJ222" i="1" s="1"/>
  <c r="Z222" i="1"/>
  <c r="E222" i="1"/>
  <c r="H222" i="1"/>
  <c r="Y222" i="1"/>
  <c r="G221" i="1"/>
  <c r="F221" i="1"/>
  <c r="AI225" i="1" l="1"/>
  <c r="X225" i="1"/>
  <c r="P226" i="1"/>
  <c r="M217" i="1"/>
  <c r="Q217" i="1" s="1"/>
  <c r="T217" i="1" s="1"/>
  <c r="Q216" i="1"/>
  <c r="T216" i="1" s="1"/>
  <c r="L216" i="1"/>
  <c r="D217" i="1" s="1"/>
  <c r="AB217" i="1" s="1"/>
  <c r="K216" i="1"/>
  <c r="C217" i="1" s="1"/>
  <c r="N216" i="1" s="1"/>
  <c r="O216" i="1" s="1"/>
  <c r="J216" i="1"/>
  <c r="B217" i="1" s="1"/>
  <c r="G222" i="1"/>
  <c r="F222" i="1"/>
  <c r="I217" i="1" l="1"/>
  <c r="L217" i="1" s="1"/>
  <c r="D218" i="1" s="1"/>
  <c r="AB218" i="1" s="1"/>
  <c r="AI226" i="1"/>
  <c r="X226" i="1"/>
  <c r="P227" i="1"/>
  <c r="K217" i="1"/>
  <c r="C218" i="1" s="1"/>
  <c r="N217" i="1" s="1"/>
  <c r="O217" i="1" s="1"/>
  <c r="U221" i="1"/>
  <c r="AH221" i="1"/>
  <c r="J217" i="1" l="1"/>
  <c r="B218" i="1" s="1"/>
  <c r="AI227" i="1"/>
  <c r="P228" i="1"/>
  <c r="X227" i="1"/>
  <c r="I218" i="1"/>
  <c r="J218" i="1" l="1"/>
  <c r="B219" i="1" s="1"/>
  <c r="L218" i="1"/>
  <c r="D219" i="1" s="1"/>
  <c r="AB219" i="1" s="1"/>
  <c r="K218" i="1"/>
  <c r="C219" i="1" s="1"/>
  <c r="N218" i="1" s="1"/>
  <c r="O218" i="1" s="1"/>
  <c r="AI228" i="1"/>
  <c r="X228" i="1"/>
  <c r="P229" i="1"/>
  <c r="AG221" i="1"/>
  <c r="AI229" i="1" l="1"/>
  <c r="P230" i="1"/>
  <c r="X229" i="1"/>
  <c r="M218" i="1"/>
  <c r="Q218" i="1" s="1"/>
  <c r="T218" i="1" s="1"/>
  <c r="I219" i="1"/>
  <c r="AG222" i="1"/>
  <c r="U222" i="1"/>
  <c r="AH222" i="1"/>
  <c r="E223" i="1"/>
  <c r="Y223" i="1"/>
  <c r="Z223" i="1"/>
  <c r="H223" i="1"/>
  <c r="AA223" i="1"/>
  <c r="AJ223" i="1" s="1"/>
  <c r="AI230" i="1" l="1"/>
  <c r="X230" i="1"/>
  <c r="P231" i="1"/>
  <c r="J219" i="1"/>
  <c r="B220" i="1" s="1"/>
  <c r="K219" i="1"/>
  <c r="C220" i="1" s="1"/>
  <c r="N219" i="1" s="1"/>
  <c r="O219" i="1" s="1"/>
  <c r="L219" i="1"/>
  <c r="D220" i="1" s="1"/>
  <c r="AB220" i="1" s="1"/>
  <c r="E224" i="1"/>
  <c r="Y224" i="1"/>
  <c r="AA224" i="1"/>
  <c r="AJ224" i="1" s="1"/>
  <c r="Z224" i="1"/>
  <c r="H224" i="1"/>
  <c r="F223" i="1"/>
  <c r="G223" i="1"/>
  <c r="M219" i="1" l="1"/>
  <c r="Q219" i="1" s="1"/>
  <c r="T219" i="1" s="1"/>
  <c r="I220" i="1"/>
  <c r="AI231" i="1"/>
  <c r="X231" i="1"/>
  <c r="P232" i="1"/>
  <c r="G224" i="1"/>
  <c r="F224" i="1"/>
  <c r="K220" i="1" l="1"/>
  <c r="C221" i="1" s="1"/>
  <c r="N220" i="1" s="1"/>
  <c r="O220" i="1" s="1"/>
  <c r="J220" i="1"/>
  <c r="B221" i="1" s="1"/>
  <c r="L220" i="1"/>
  <c r="D221" i="1" s="1"/>
  <c r="AB221" i="1" s="1"/>
  <c r="AI232" i="1"/>
  <c r="X232" i="1"/>
  <c r="P233" i="1"/>
  <c r="U223" i="1"/>
  <c r="AH223" i="1"/>
  <c r="AI233" i="1" l="1"/>
  <c r="X233" i="1"/>
  <c r="P234" i="1"/>
  <c r="M220" i="1"/>
  <c r="I221" i="1"/>
  <c r="AG223" i="1"/>
  <c r="Q220" i="1" l="1"/>
  <c r="T220" i="1" s="1"/>
  <c r="M221" i="1"/>
  <c r="AI234" i="1"/>
  <c r="X234" i="1"/>
  <c r="P235" i="1"/>
  <c r="K221" i="1"/>
  <c r="C222" i="1" s="1"/>
  <c r="N221" i="1" s="1"/>
  <c r="O221" i="1" s="1"/>
  <c r="L221" i="1"/>
  <c r="D222" i="1" s="1"/>
  <c r="AB222" i="1" s="1"/>
  <c r="J221" i="1"/>
  <c r="B222" i="1" s="1"/>
  <c r="U224" i="1"/>
  <c r="AH224" i="1"/>
  <c r="I222" i="1" l="1"/>
  <c r="J222" i="1" s="1"/>
  <c r="B223" i="1" s="1"/>
  <c r="Q221" i="1"/>
  <c r="T221" i="1" s="1"/>
  <c r="M222" i="1"/>
  <c r="Q222" i="1" s="1"/>
  <c r="T222" i="1" s="1"/>
  <c r="AI235" i="1"/>
  <c r="P12" i="15" s="1"/>
  <c r="X235" i="1"/>
  <c r="N8" i="15"/>
  <c r="AG224" i="1"/>
  <c r="AA225" i="1"/>
  <c r="AJ225" i="1" s="1"/>
  <c r="H225" i="1"/>
  <c r="Z225" i="1"/>
  <c r="E225" i="1"/>
  <c r="Y225" i="1"/>
  <c r="L222" i="1" l="1"/>
  <c r="D223" i="1" s="1"/>
  <c r="AB223" i="1" s="1"/>
  <c r="K222" i="1"/>
  <c r="C223" i="1" s="1"/>
  <c r="N222" i="1" s="1"/>
  <c r="O222" i="1" s="1"/>
  <c r="E226" i="1"/>
  <c r="H226" i="1"/>
  <c r="Z226" i="1"/>
  <c r="Y226" i="1"/>
  <c r="AA226" i="1"/>
  <c r="AJ226" i="1" s="1"/>
  <c r="F225" i="1"/>
  <c r="G225" i="1"/>
  <c r="I223" i="1" l="1"/>
  <c r="K223" i="1" s="1"/>
  <c r="C224" i="1" s="1"/>
  <c r="N223" i="1" s="1"/>
  <c r="O223" i="1" s="1"/>
  <c r="F226" i="1"/>
  <c r="G226" i="1"/>
  <c r="L223" i="1" l="1"/>
  <c r="D224" i="1" s="1"/>
  <c r="AB224" i="1" s="1"/>
  <c r="J223" i="1"/>
  <c r="B224" i="1" s="1"/>
  <c r="M223" i="1"/>
  <c r="Q223" i="1" s="1"/>
  <c r="T223" i="1" s="1"/>
  <c r="U225" i="1"/>
  <c r="AH225" i="1"/>
  <c r="I224" i="1" l="1"/>
  <c r="K224" i="1" s="1"/>
  <c r="C225" i="1" s="1"/>
  <c r="N224" i="1" s="1"/>
  <c r="O224" i="1" s="1"/>
  <c r="AG225" i="1"/>
  <c r="L224" i="1" l="1"/>
  <c r="D225" i="1" s="1"/>
  <c r="AB225" i="1" s="1"/>
  <c r="J224" i="1"/>
  <c r="B225" i="1" s="1"/>
  <c r="M224" i="1"/>
  <c r="AG226" i="1"/>
  <c r="I225" i="1" l="1"/>
  <c r="K225" i="1" s="1"/>
  <c r="C226" i="1" s="1"/>
  <c r="N225" i="1" s="1"/>
  <c r="O225" i="1" s="1"/>
  <c r="Q224" i="1"/>
  <c r="T224" i="1" s="1"/>
  <c r="M225" i="1"/>
  <c r="Q225" i="1" s="1"/>
  <c r="T225" i="1" s="1"/>
  <c r="U226" i="1"/>
  <c r="AH226" i="1"/>
  <c r="Y227" i="1"/>
  <c r="Z227" i="1"/>
  <c r="H227" i="1"/>
  <c r="AA227" i="1"/>
  <c r="AJ227" i="1" s="1"/>
  <c r="E227" i="1"/>
  <c r="L225" i="1" l="1"/>
  <c r="D226" i="1" s="1"/>
  <c r="AB226" i="1" s="1"/>
  <c r="J225" i="1"/>
  <c r="B226" i="1" s="1"/>
  <c r="I226" i="1" s="1"/>
  <c r="J226" i="1" s="1"/>
  <c r="B227" i="1" s="1"/>
  <c r="M226" i="1" s="1"/>
  <c r="Q226" i="1" s="1"/>
  <c r="T226" i="1" s="1"/>
  <c r="H228" i="1"/>
  <c r="AA228" i="1"/>
  <c r="AJ228" i="1" s="1"/>
  <c r="E228" i="1"/>
  <c r="Y228" i="1"/>
  <c r="Z228" i="1"/>
  <c r="G227" i="1"/>
  <c r="F227" i="1"/>
  <c r="K226" i="1" l="1"/>
  <c r="C227" i="1" s="1"/>
  <c r="N226" i="1" s="1"/>
  <c r="O226" i="1" s="1"/>
  <c r="L226" i="1"/>
  <c r="D227" i="1" s="1"/>
  <c r="AB227" i="1" s="1"/>
  <c r="F228" i="1"/>
  <c r="G228" i="1"/>
  <c r="I227" i="1" l="1"/>
  <c r="L227" i="1" s="1"/>
  <c r="D228" i="1" s="1"/>
  <c r="AB228" i="1" s="1"/>
  <c r="J227" i="1" l="1"/>
  <c r="B228" i="1" s="1"/>
  <c r="K227" i="1"/>
  <c r="C228" i="1" s="1"/>
  <c r="N227" i="1" s="1"/>
  <c r="O227" i="1" s="1"/>
  <c r="U227" i="1"/>
  <c r="AH227" i="1"/>
  <c r="M227" i="1"/>
  <c r="I228" i="1" l="1"/>
  <c r="L228" i="1" s="1"/>
  <c r="D229" i="1" s="1"/>
  <c r="Q227" i="1"/>
  <c r="T227" i="1" s="1"/>
  <c r="AG227" i="1"/>
  <c r="J228" i="1" l="1"/>
  <c r="B229" i="1" s="1"/>
  <c r="K228" i="1"/>
  <c r="C229" i="1" s="1"/>
  <c r="N228" i="1" s="1"/>
  <c r="O228" i="1" s="1"/>
  <c r="U228" i="1"/>
  <c r="AH228" i="1"/>
  <c r="AB229" i="1"/>
  <c r="M228" i="1"/>
  <c r="Q228" i="1" l="1"/>
  <c r="T228" i="1" s="1"/>
  <c r="AG228" i="1"/>
  <c r="Z229" i="1"/>
  <c r="Y229" i="1"/>
  <c r="AA229" i="1"/>
  <c r="AJ229" i="1" s="1"/>
  <c r="E229" i="1"/>
  <c r="H229" i="1"/>
  <c r="Y230" i="1" l="1"/>
  <c r="E230" i="1"/>
  <c r="Z230" i="1"/>
  <c r="AA230" i="1"/>
  <c r="AJ230" i="1" s="1"/>
  <c r="H230" i="1"/>
  <c r="F229" i="1"/>
  <c r="G229" i="1"/>
  <c r="I229" i="1" l="1"/>
  <c r="F230" i="1"/>
  <c r="G230" i="1"/>
  <c r="K229" i="1" l="1"/>
  <c r="C230" i="1" s="1"/>
  <c r="N229" i="1" s="1"/>
  <c r="L229" i="1"/>
  <c r="D230" i="1" s="1"/>
  <c r="AB230" i="1" s="1"/>
  <c r="J229" i="1"/>
  <c r="B230" i="1" s="1"/>
  <c r="O229" i="1" l="1"/>
  <c r="U229" i="1"/>
  <c r="AH229" i="1"/>
  <c r="I230" i="1"/>
  <c r="M229" i="1"/>
  <c r="Q229" i="1" l="1"/>
  <c r="T229" i="1" s="1"/>
  <c r="AG229" i="1"/>
  <c r="K230" i="1"/>
  <c r="C231" i="1" s="1"/>
  <c r="N230" i="1" s="1"/>
  <c r="J230" i="1"/>
  <c r="B231" i="1" s="1"/>
  <c r="L230" i="1"/>
  <c r="D231" i="1" s="1"/>
  <c r="O230" i="1" l="1"/>
  <c r="U230" i="1"/>
  <c r="AH230" i="1"/>
  <c r="AB231" i="1"/>
  <c r="M230" i="1"/>
  <c r="Q230" i="1" l="1"/>
  <c r="T230" i="1" s="1"/>
  <c r="AG230" i="1"/>
  <c r="E231" i="1"/>
  <c r="AA231" i="1"/>
  <c r="AJ231" i="1" s="1"/>
  <c r="Z231" i="1"/>
  <c r="H231" i="1"/>
  <c r="Y231" i="1"/>
  <c r="G231" i="1" l="1"/>
  <c r="F231" i="1"/>
  <c r="Y232" i="1"/>
  <c r="AA232" i="1"/>
  <c r="AJ232" i="1" s="1"/>
  <c r="Z232" i="1"/>
  <c r="E232" i="1"/>
  <c r="H232" i="1"/>
  <c r="I231" i="1" l="1"/>
  <c r="J231" i="1" s="1"/>
  <c r="B232" i="1" s="1"/>
  <c r="M231" i="1" s="1"/>
  <c r="G232" i="1"/>
  <c r="F232" i="1"/>
  <c r="Q231" i="1" l="1"/>
  <c r="T231" i="1" s="1"/>
  <c r="AG231" i="1"/>
  <c r="K231" i="1"/>
  <c r="C232" i="1" s="1"/>
  <c r="N231" i="1" s="1"/>
  <c r="L231" i="1"/>
  <c r="D232" i="1" s="1"/>
  <c r="AB232" i="1" s="1"/>
  <c r="O231" i="1" l="1"/>
  <c r="U231" i="1"/>
  <c r="AH231" i="1"/>
  <c r="I232" i="1"/>
  <c r="L232" i="1" s="1"/>
  <c r="D233" i="1" s="1"/>
  <c r="AB233" i="1" s="1"/>
  <c r="K232" i="1" l="1"/>
  <c r="C233" i="1" s="1"/>
  <c r="N232" i="1" s="1"/>
  <c r="J232" i="1"/>
  <c r="B233" i="1" s="1"/>
  <c r="M232" i="1" s="1"/>
  <c r="E233" i="1"/>
  <c r="Y233" i="1"/>
  <c r="H233" i="1"/>
  <c r="AA233" i="1"/>
  <c r="AJ233" i="1" s="1"/>
  <c r="Z233" i="1"/>
  <c r="Q232" i="1" l="1"/>
  <c r="T232" i="1" s="1"/>
  <c r="AG232" i="1"/>
  <c r="O232" i="1"/>
  <c r="U232" i="1"/>
  <c r="AH232" i="1"/>
  <c r="AA234" i="1"/>
  <c r="AJ234" i="1" s="1"/>
  <c r="N14" i="15" s="1"/>
  <c r="E234" i="1"/>
  <c r="Z234" i="1"/>
  <c r="H234" i="1"/>
  <c r="Y234" i="1"/>
  <c r="G233" i="1"/>
  <c r="F233" i="1"/>
  <c r="G234" i="1" l="1"/>
  <c r="F234" i="1"/>
  <c r="I233" i="1"/>
  <c r="L233" i="1" l="1"/>
  <c r="D234" i="1" s="1"/>
  <c r="AB234" i="1" s="1"/>
  <c r="J233" i="1"/>
  <c r="B234" i="1" s="1"/>
  <c r="K233" i="1"/>
  <c r="C234" i="1" s="1"/>
  <c r="N233" i="1" s="1"/>
  <c r="O233" i="1" l="1"/>
  <c r="U233" i="1"/>
  <c r="AH233" i="1"/>
  <c r="I234" i="1"/>
  <c r="M233" i="1"/>
  <c r="Q233" i="1" l="1"/>
  <c r="T233" i="1" s="1"/>
  <c r="AG233" i="1"/>
  <c r="K234" i="1"/>
  <c r="C235" i="1" s="1"/>
  <c r="N234" i="1" s="1"/>
  <c r="J234" i="1"/>
  <c r="B235" i="1" s="1"/>
  <c r="M234" i="1" s="1"/>
  <c r="L234" i="1"/>
  <c r="D235" i="1" s="1"/>
  <c r="Q234" i="1" l="1"/>
  <c r="T234" i="1" s="1"/>
  <c r="AG234" i="1"/>
  <c r="O234" i="1"/>
  <c r="U234" i="1"/>
  <c r="AH234" i="1"/>
  <c r="AB235" i="1"/>
  <c r="N5" i="15" l="1"/>
  <c r="C40" i="4" s="1"/>
  <c r="Z235" i="1"/>
  <c r="S38" i="7" s="1"/>
  <c r="N235" i="1"/>
  <c r="Y235" i="1"/>
  <c r="R38" i="7" s="1"/>
  <c r="C36" i="4"/>
  <c r="E235" i="1"/>
  <c r="AA235" i="1"/>
  <c r="N6" i="15" s="1"/>
  <c r="H235" i="1"/>
  <c r="M235" i="1"/>
  <c r="AG235" i="1" l="1"/>
  <c r="B22" i="7"/>
  <c r="AJ235" i="1"/>
  <c r="U235" i="1"/>
  <c r="Q23" i="15" s="1"/>
  <c r="AH235" i="1"/>
  <c r="Q235" i="1"/>
  <c r="T235" i="1" s="1"/>
  <c r="Q22" i="15" s="1"/>
  <c r="O235" i="1"/>
  <c r="N9" i="15" s="1"/>
  <c r="F235" i="1"/>
  <c r="G235" i="1"/>
  <c r="V8" i="1" l="1"/>
  <c r="V10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P11" i="15"/>
  <c r="R11" i="15"/>
  <c r="R12" i="15"/>
  <c r="B23" i="7"/>
  <c r="E18" i="7" s="1"/>
  <c r="F18" i="7" s="1"/>
  <c r="N10" i="15"/>
  <c r="N12" i="15"/>
  <c r="Q25" i="7" s="1"/>
  <c r="Q28" i="7" s="1"/>
  <c r="N11" i="15"/>
  <c r="P10" i="15"/>
  <c r="R10" i="15"/>
  <c r="C45" i="4"/>
  <c r="B40" i="7"/>
  <c r="V38" i="1"/>
  <c r="V46" i="1"/>
  <c r="V54" i="1"/>
  <c r="V62" i="1"/>
  <c r="V70" i="1"/>
  <c r="V78" i="1"/>
  <c r="V86" i="1"/>
  <c r="V94" i="1"/>
  <c r="V48" i="1"/>
  <c r="V64" i="1"/>
  <c r="V80" i="1"/>
  <c r="V33" i="1"/>
  <c r="V49" i="1"/>
  <c r="V57" i="1"/>
  <c r="V65" i="1"/>
  <c r="V89" i="1"/>
  <c r="V75" i="1"/>
  <c r="V99" i="1"/>
  <c r="V61" i="1"/>
  <c r="V77" i="1"/>
  <c r="V31" i="1"/>
  <c r="V39" i="1"/>
  <c r="V47" i="1"/>
  <c r="V55" i="1"/>
  <c r="V63" i="1"/>
  <c r="V71" i="1"/>
  <c r="V79" i="1"/>
  <c r="V87" i="1"/>
  <c r="V95" i="1"/>
  <c r="V32" i="1"/>
  <c r="V56" i="1"/>
  <c r="V72" i="1"/>
  <c r="V88" i="1"/>
  <c r="V96" i="1"/>
  <c r="V41" i="1"/>
  <c r="V73" i="1"/>
  <c r="V97" i="1"/>
  <c r="V83" i="1"/>
  <c r="V37" i="1"/>
  <c r="V93" i="1"/>
  <c r="V40" i="1"/>
  <c r="V100" i="1"/>
  <c r="V85" i="1"/>
  <c r="V81" i="1"/>
  <c r="V34" i="1"/>
  <c r="V42" i="1"/>
  <c r="V50" i="1"/>
  <c r="V58" i="1"/>
  <c r="V66" i="1"/>
  <c r="V74" i="1"/>
  <c r="V82" i="1"/>
  <c r="V90" i="1"/>
  <c r="V98" i="1"/>
  <c r="V53" i="1"/>
  <c r="V101" i="1"/>
  <c r="V35" i="1"/>
  <c r="V43" i="1"/>
  <c r="V51" i="1"/>
  <c r="V59" i="1"/>
  <c r="V67" i="1"/>
  <c r="V91" i="1"/>
  <c r="V45" i="1"/>
  <c r="V36" i="1"/>
  <c r="V44" i="1"/>
  <c r="V52" i="1"/>
  <c r="V60" i="1"/>
  <c r="V68" i="1"/>
  <c r="V76" i="1"/>
  <c r="V84" i="1"/>
  <c r="V92" i="1"/>
  <c r="V69" i="1"/>
  <c r="I235" i="1"/>
  <c r="E19" i="7" l="1"/>
  <c r="H19" i="7" s="1"/>
  <c r="H18" i="7"/>
  <c r="W37" i="1"/>
  <c r="W45" i="1"/>
  <c r="W53" i="1"/>
  <c r="W61" i="1"/>
  <c r="W69" i="1"/>
  <c r="W77" i="1"/>
  <c r="W85" i="1"/>
  <c r="W93" i="1"/>
  <c r="W101" i="1"/>
  <c r="W102" i="1"/>
  <c r="W110" i="1"/>
  <c r="W118" i="1"/>
  <c r="W126" i="1"/>
  <c r="W87" i="1"/>
  <c r="W95" i="1"/>
  <c r="W104" i="1"/>
  <c r="W120" i="1"/>
  <c r="W80" i="1"/>
  <c r="W113" i="1"/>
  <c r="W123" i="1"/>
  <c r="W116" i="1"/>
  <c r="W60" i="1"/>
  <c r="W100" i="1"/>
  <c r="W117" i="1"/>
  <c r="W38" i="1"/>
  <c r="W46" i="1"/>
  <c r="W54" i="1"/>
  <c r="W62" i="1"/>
  <c r="W70" i="1"/>
  <c r="W78" i="1"/>
  <c r="W86" i="1"/>
  <c r="W94" i="1"/>
  <c r="W103" i="1"/>
  <c r="W111" i="1"/>
  <c r="W119" i="1"/>
  <c r="W127" i="1"/>
  <c r="W79" i="1"/>
  <c r="W112" i="1"/>
  <c r="W64" i="1"/>
  <c r="W88" i="1"/>
  <c r="W96" i="1"/>
  <c r="W105" i="1"/>
  <c r="W121" i="1"/>
  <c r="W114" i="1"/>
  <c r="W107" i="1"/>
  <c r="W108" i="1"/>
  <c r="W68" i="1"/>
  <c r="W31" i="1"/>
  <c r="W39" i="1"/>
  <c r="W47" i="1"/>
  <c r="W55" i="1"/>
  <c r="W63" i="1"/>
  <c r="W71" i="1"/>
  <c r="W122" i="1"/>
  <c r="W52" i="1"/>
  <c r="W92" i="1"/>
  <c r="W32" i="1"/>
  <c r="W40" i="1"/>
  <c r="W48" i="1"/>
  <c r="W56" i="1"/>
  <c r="W72" i="1"/>
  <c r="W33" i="1"/>
  <c r="W41" i="1"/>
  <c r="W49" i="1"/>
  <c r="W57" i="1"/>
  <c r="W65" i="1"/>
  <c r="W73" i="1"/>
  <c r="W81" i="1"/>
  <c r="W89" i="1"/>
  <c r="W97" i="1"/>
  <c r="W106" i="1"/>
  <c r="W115" i="1"/>
  <c r="W36" i="1"/>
  <c r="W76" i="1"/>
  <c r="W34" i="1"/>
  <c r="W42" i="1"/>
  <c r="W50" i="1"/>
  <c r="W58" i="1"/>
  <c r="W66" i="1"/>
  <c r="W74" i="1"/>
  <c r="W82" i="1"/>
  <c r="W90" i="1"/>
  <c r="W98" i="1"/>
  <c r="W44" i="1"/>
  <c r="W125" i="1"/>
  <c r="W35" i="1"/>
  <c r="W43" i="1"/>
  <c r="W51" i="1"/>
  <c r="W59" i="1"/>
  <c r="W67" i="1"/>
  <c r="W75" i="1"/>
  <c r="W83" i="1"/>
  <c r="W91" i="1"/>
  <c r="W99" i="1"/>
  <c r="W124" i="1"/>
  <c r="W84" i="1"/>
  <c r="W109" i="1"/>
  <c r="W129" i="1"/>
  <c r="W128" i="1"/>
  <c r="F17" i="12"/>
  <c r="W136" i="1"/>
  <c r="W155" i="1"/>
  <c r="W158" i="1"/>
  <c r="W165" i="1"/>
  <c r="W164" i="1"/>
  <c r="W171" i="1"/>
  <c r="W134" i="1"/>
  <c r="W138" i="1"/>
  <c r="W140" i="1"/>
  <c r="W153" i="1"/>
  <c r="W131" i="1"/>
  <c r="W142" i="1"/>
  <c r="W132" i="1"/>
  <c r="W145" i="1"/>
  <c r="W139" i="1"/>
  <c r="W152" i="1"/>
  <c r="W143" i="1"/>
  <c r="W159" i="1"/>
  <c r="W172" i="1"/>
  <c r="W163" i="1"/>
  <c r="W154" i="1"/>
  <c r="W150" i="1"/>
  <c r="W149" i="1"/>
  <c r="W130" i="1"/>
  <c r="W168" i="1"/>
  <c r="W162" i="1"/>
  <c r="W166" i="1"/>
  <c r="W147" i="1"/>
  <c r="W146" i="1"/>
  <c r="W156" i="1"/>
  <c r="W144" i="1"/>
  <c r="W169" i="1"/>
  <c r="W160" i="1"/>
  <c r="W151" i="1"/>
  <c r="W137" i="1"/>
  <c r="W161" i="1"/>
  <c r="W148" i="1"/>
  <c r="W141" i="1"/>
  <c r="W167" i="1"/>
  <c r="W135" i="1"/>
  <c r="W157" i="1"/>
  <c r="W170" i="1"/>
  <c r="W133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D7" i="12"/>
  <c r="D15" i="12"/>
  <c r="D23" i="12"/>
  <c r="D6" i="12"/>
  <c r="D14" i="12"/>
  <c r="D22" i="12"/>
  <c r="D5" i="12"/>
  <c r="D13" i="12"/>
  <c r="D21" i="12"/>
  <c r="D19" i="12"/>
  <c r="D12" i="12"/>
  <c r="D20" i="12"/>
  <c r="D24" i="12"/>
  <c r="D11" i="12"/>
  <c r="D10" i="12"/>
  <c r="D18" i="12"/>
  <c r="D9" i="12"/>
  <c r="D17" i="12"/>
  <c r="D25" i="12"/>
  <c r="D8" i="12"/>
  <c r="D16" i="12"/>
  <c r="F1" i="7"/>
  <c r="M1" i="7" s="1"/>
  <c r="H11" i="12"/>
  <c r="H19" i="12"/>
  <c r="H20" i="12"/>
  <c r="H10" i="12"/>
  <c r="H18" i="12"/>
  <c r="H9" i="12"/>
  <c r="H17" i="12"/>
  <c r="H25" i="12"/>
  <c r="H8" i="12"/>
  <c r="H16" i="12"/>
  <c r="H24" i="12"/>
  <c r="H15" i="12"/>
  <c r="H22" i="12"/>
  <c r="H7" i="12"/>
  <c r="H23" i="12"/>
  <c r="H6" i="12"/>
  <c r="H14" i="12"/>
  <c r="H5" i="12"/>
  <c r="H13" i="12"/>
  <c r="H21" i="12"/>
  <c r="H12" i="12"/>
  <c r="G10" i="12"/>
  <c r="G7" i="12"/>
  <c r="G21" i="12"/>
  <c r="G15" i="12"/>
  <c r="G18" i="12"/>
  <c r="G12" i="12"/>
  <c r="G23" i="12"/>
  <c r="G25" i="12"/>
  <c r="G20" i="12"/>
  <c r="G9" i="12"/>
  <c r="G22" i="12"/>
  <c r="G11" i="12"/>
  <c r="G6" i="12"/>
  <c r="G19" i="12"/>
  <c r="G5" i="12"/>
  <c r="G24" i="12"/>
  <c r="G17" i="12"/>
  <c r="G8" i="12"/>
  <c r="G14" i="12"/>
  <c r="G13" i="12"/>
  <c r="G16" i="12"/>
  <c r="G1" i="7"/>
  <c r="N1" i="7" s="1"/>
  <c r="N3" i="7" s="1"/>
  <c r="E1" i="7"/>
  <c r="L1" i="7" s="1"/>
  <c r="C43" i="4"/>
  <c r="I13" i="7"/>
  <c r="C42" i="4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K235" i="1"/>
  <c r="L235" i="1"/>
  <c r="J235" i="1"/>
  <c r="L3" i="7" l="1"/>
  <c r="M3" i="7"/>
  <c r="Q7" i="15"/>
  <c r="P7" i="15"/>
  <c r="E16" i="12"/>
  <c r="E8" i="12"/>
  <c r="F9" i="12"/>
  <c r="E25" i="12"/>
  <c r="E18" i="12"/>
  <c r="F20" i="12"/>
  <c r="E17" i="12"/>
  <c r="E21" i="12"/>
  <c r="F22" i="12"/>
  <c r="F6" i="12"/>
  <c r="F15" i="12"/>
  <c r="F11" i="12"/>
  <c r="E22" i="12"/>
  <c r="E19" i="12"/>
  <c r="E14" i="12"/>
  <c r="E20" i="12"/>
  <c r="E6" i="12"/>
  <c r="F21" i="12"/>
  <c r="E15" i="12"/>
  <c r="F12" i="12"/>
  <c r="E13" i="12"/>
  <c r="F16" i="12"/>
  <c r="E9" i="12"/>
  <c r="F13" i="12"/>
  <c r="F18" i="12"/>
  <c r="F8" i="12"/>
  <c r="F19" i="12"/>
  <c r="E12" i="12"/>
  <c r="F23" i="12"/>
  <c r="E23" i="12"/>
  <c r="E7" i="12"/>
  <c r="F25" i="12"/>
  <c r="F10" i="12"/>
  <c r="E11" i="12"/>
  <c r="F14" i="12"/>
  <c r="F7" i="12"/>
  <c r="E24" i="12"/>
  <c r="E10" i="12"/>
  <c r="F5" i="12"/>
  <c r="E5" i="12"/>
  <c r="F24" i="12"/>
  <c r="E3" i="7"/>
  <c r="N12" i="7"/>
  <c r="N5" i="7"/>
  <c r="N4" i="7"/>
  <c r="N11" i="7"/>
  <c r="N10" i="7"/>
  <c r="N9" i="7"/>
  <c r="N7" i="7"/>
  <c r="N6" i="7"/>
  <c r="N8" i="7"/>
  <c r="N15" i="7"/>
  <c r="B36" i="7"/>
  <c r="F3" i="7"/>
  <c r="B13" i="7"/>
  <c r="D13" i="7" s="1"/>
  <c r="E13" i="7" s="1"/>
  <c r="G3" i="7"/>
  <c r="G15" i="7" s="1"/>
  <c r="K13" i="7"/>
  <c r="M13" i="7" s="1"/>
  <c r="M15" i="7" l="1"/>
  <c r="M6" i="7" s="1"/>
  <c r="N7" i="15"/>
  <c r="C44" i="4" s="1"/>
  <c r="L13" i="7"/>
  <c r="Q32" i="7" s="1"/>
  <c r="E15" i="7"/>
  <c r="E9" i="7" s="1"/>
  <c r="B42" i="7"/>
  <c r="G4" i="7"/>
  <c r="G12" i="7"/>
  <c r="G11" i="7"/>
  <c r="G10" i="7"/>
  <c r="G9" i="7"/>
  <c r="G8" i="7"/>
  <c r="G7" i="7"/>
  <c r="G6" i="7"/>
  <c r="G5" i="7"/>
  <c r="D15" i="7"/>
  <c r="D9" i="7"/>
  <c r="D8" i="7"/>
  <c r="D10" i="7"/>
  <c r="D12" i="7"/>
  <c r="D4" i="7"/>
  <c r="D7" i="7"/>
  <c r="D11" i="7"/>
  <c r="D5" i="7"/>
  <c r="D6" i="7"/>
  <c r="F13" i="7"/>
  <c r="F15" i="7" s="1"/>
  <c r="M5" i="7" l="1"/>
  <c r="M10" i="7"/>
  <c r="M7" i="7"/>
  <c r="M12" i="7"/>
  <c r="M8" i="7"/>
  <c r="M11" i="7"/>
  <c r="M9" i="7"/>
  <c r="M4" i="7"/>
  <c r="B41" i="7"/>
  <c r="B45" i="7" s="1"/>
  <c r="B37" i="7" s="1"/>
  <c r="E8" i="7"/>
  <c r="Q31" i="7"/>
  <c r="C37" i="4" s="1"/>
  <c r="E7" i="7"/>
  <c r="E4" i="7"/>
  <c r="E6" i="7"/>
  <c r="E12" i="7"/>
  <c r="E11" i="7"/>
  <c r="E5" i="7"/>
  <c r="E10" i="7"/>
  <c r="L15" i="7"/>
  <c r="L6" i="7" s="1"/>
  <c r="C38" i="4"/>
  <c r="F7" i="7"/>
  <c r="F8" i="7"/>
  <c r="F9" i="7"/>
  <c r="F6" i="7"/>
  <c r="F11" i="7"/>
  <c r="F10" i="7"/>
  <c r="F12" i="7"/>
  <c r="F4" i="7"/>
  <c r="F5" i="7"/>
  <c r="L10" i="7" l="1"/>
  <c r="L9" i="7"/>
  <c r="L5" i="7"/>
  <c r="L4" i="7"/>
  <c r="L12" i="7"/>
  <c r="L8" i="7"/>
  <c r="L7" i="7"/>
  <c r="L11" i="7"/>
</calcChain>
</file>

<file path=xl/sharedStrings.xml><?xml version="1.0" encoding="utf-8"?>
<sst xmlns="http://schemas.openxmlformats.org/spreadsheetml/2006/main" count="370" uniqueCount="293">
  <si>
    <t>V0=</t>
  </si>
  <si>
    <t>Elevation</t>
  </si>
  <si>
    <t>CD</t>
  </si>
  <si>
    <t>Diameter</t>
  </si>
  <si>
    <t>Mass</t>
  </si>
  <si>
    <t>Relative Wind Direction [degrees]</t>
  </si>
  <si>
    <t>xdot</t>
  </si>
  <si>
    <t>ydot</t>
  </si>
  <si>
    <t>zdot</t>
  </si>
  <si>
    <t>t</t>
  </si>
  <si>
    <t>rho</t>
  </si>
  <si>
    <t>V</t>
  </si>
  <si>
    <t>xdotdot</t>
  </si>
  <si>
    <t>ydotdot</t>
  </si>
  <si>
    <t>zdotdot</t>
  </si>
  <si>
    <t>x</t>
  </si>
  <si>
    <t>y</t>
  </si>
  <si>
    <t>z</t>
  </si>
  <si>
    <t>Time increment</t>
  </si>
  <si>
    <t>Effective area</t>
  </si>
  <si>
    <t>Grav Constant</t>
  </si>
  <si>
    <t>Size</t>
  </si>
  <si>
    <t>K=CD rho/2g</t>
  </si>
  <si>
    <t>100-120</t>
  </si>
  <si>
    <t>Shell Diameter</t>
  </si>
  <si>
    <t>Wind Speed [m/s]</t>
  </si>
  <si>
    <t>Wind Speed (km/h)</t>
  </si>
  <si>
    <t>LOG10(CD)</t>
  </si>
  <si>
    <t>Max Height</t>
  </si>
  <si>
    <t>Wind Direction</t>
  </si>
  <si>
    <t>Max Downrange Carry</t>
  </si>
  <si>
    <t>Max Crossrange Carry</t>
  </si>
  <si>
    <t>ABS y</t>
  </si>
  <si>
    <t>Flight Time</t>
  </si>
  <si>
    <t>Ascent Time</t>
  </si>
  <si>
    <t>0 = tailwind, 180 = headwind, +ve = from right, -ve = from left</t>
  </si>
  <si>
    <t>Mortar Angle from Vertical</t>
  </si>
  <si>
    <t>Height of Mortar AMSL</t>
  </si>
  <si>
    <t>Corrected Wind</t>
  </si>
  <si>
    <t>Terrain Category</t>
  </si>
  <si>
    <t>Terrrain Categories</t>
  </si>
  <si>
    <t>None</t>
  </si>
  <si>
    <t>s</t>
  </si>
  <si>
    <t>m</t>
  </si>
  <si>
    <t>(refer AS1170.2)</t>
  </si>
  <si>
    <t>Wind Speed</t>
  </si>
  <si>
    <t>Muzzle Velocity</t>
  </si>
  <si>
    <t>Relative Wind Direction</t>
  </si>
  <si>
    <t>Elevation of Launch Site</t>
  </si>
  <si>
    <t>Fuse Delay</t>
  </si>
  <si>
    <t>Burst x</t>
  </si>
  <si>
    <t>Burst y</t>
  </si>
  <si>
    <t>Burst z</t>
  </si>
  <si>
    <t>wxdot</t>
  </si>
  <si>
    <t>wydot</t>
  </si>
  <si>
    <t>4" (100mm)</t>
  </si>
  <si>
    <t>5" (125mm)</t>
  </si>
  <si>
    <t>½" (13mm)</t>
  </si>
  <si>
    <t>6" (150mm)</t>
  </si>
  <si>
    <t>7" (175mm)</t>
  </si>
  <si>
    <t>8" (200mm)</t>
  </si>
  <si>
    <t>10" (250mm)</t>
  </si>
  <si>
    <t>1" (25mm)</t>
  </si>
  <si>
    <t>12" (300mm)</t>
  </si>
  <si>
    <t>1½" (38mm)</t>
  </si>
  <si>
    <t>2" (50mm)</t>
  </si>
  <si>
    <t>2½" (63mm)</t>
  </si>
  <si>
    <t>3" (75mm)</t>
  </si>
  <si>
    <t>Comet?</t>
  </si>
  <si>
    <t>Imperial?</t>
  </si>
  <si>
    <t>Linear Burning Rate</t>
  </si>
  <si>
    <t>Height all Burnt</t>
  </si>
  <si>
    <t>Time all burnt</t>
  </si>
  <si>
    <t>z all Burnt</t>
  </si>
  <si>
    <t>x all Burnt</t>
  </si>
  <si>
    <t>y all Burnt</t>
  </si>
  <si>
    <r>
      <t>SHELLCALC</t>
    </r>
    <r>
      <rPr>
        <vertAlign val="superscript"/>
        <sz val="12"/>
        <rFont val="Arial"/>
        <family val="2"/>
      </rPr>
      <t>©</t>
    </r>
    <r>
      <rPr>
        <sz val="12"/>
        <rFont val="Arial"/>
        <family val="2"/>
      </rPr>
      <t xml:space="preserve"> is a </t>
    </r>
    <r>
      <rPr>
        <b/>
        <sz val="12"/>
        <rFont val="Arial"/>
        <family val="2"/>
      </rPr>
      <t>freeware</t>
    </r>
    <r>
      <rPr>
        <sz val="12"/>
        <rFont val="Arial"/>
        <family val="2"/>
      </rPr>
      <t xml:space="preserve"> program designed to </t>
    </r>
    <r>
      <rPr>
        <i/>
        <sz val="12"/>
        <rFont val="Arial"/>
        <family val="2"/>
      </rPr>
      <t>assist</t>
    </r>
    <r>
      <rPr>
        <sz val="12"/>
        <rFont val="Arial"/>
        <family val="2"/>
      </rPr>
      <t>:</t>
    </r>
  </si>
  <si>
    <t>Effective Area</t>
  </si>
  <si>
    <t>Inc</t>
  </si>
  <si>
    <t>x val</t>
  </si>
  <si>
    <t>y1 val</t>
  </si>
  <si>
    <t>y2 val</t>
  </si>
  <si>
    <t>z1 val</t>
  </si>
  <si>
    <t>z2 val</t>
  </si>
  <si>
    <t>diam</t>
  </si>
  <si>
    <t>rad</t>
  </si>
  <si>
    <t>cos</t>
  </si>
  <si>
    <t>raw diam</t>
  </si>
  <si>
    <t>met_imp</t>
  </si>
  <si>
    <t>Max offset</t>
  </si>
  <si>
    <t>Drift</t>
  </si>
  <si>
    <t>Typical</t>
  </si>
  <si>
    <t>drift</t>
  </si>
  <si>
    <t>delay</t>
  </si>
  <si>
    <t>Type</t>
  </si>
  <si>
    <t>Tumbling/Mortar Drift</t>
  </si>
  <si>
    <t>Metric</t>
  </si>
  <si>
    <t>Imperial</t>
  </si>
  <si>
    <t>Comets</t>
  </si>
  <si>
    <t>Burst Calculations</t>
  </si>
  <si>
    <t>Trajectory Calculations</t>
  </si>
  <si>
    <t>Major</t>
  </si>
  <si>
    <t>Minor</t>
  </si>
  <si>
    <t>Extreme</t>
  </si>
  <si>
    <t>Param 1</t>
  </si>
  <si>
    <t>height of launch</t>
  </si>
  <si>
    <t>Revision Log</t>
  </si>
  <si>
    <t>JH</t>
  </si>
  <si>
    <t>original progam</t>
  </si>
  <si>
    <t>TS</t>
  </si>
  <si>
    <t>incorporates shell bursts</t>
  </si>
  <si>
    <t>allows firing above ground level</t>
  </si>
  <si>
    <t>1¼" (30mm)</t>
  </si>
  <si>
    <t>1¾" (45mm)</t>
  </si>
  <si>
    <t>more diameters</t>
  </si>
  <si>
    <t>= new or estimated values</t>
  </si>
  <si>
    <t>Aerial Shell/Comet Data</t>
  </si>
  <si>
    <t>Height of launch</t>
  </si>
  <si>
    <r>
      <t xml:space="preserve">M </t>
    </r>
    <r>
      <rPr>
        <sz val="10"/>
        <rFont val="Arial"/>
        <family val="2"/>
      </rPr>
      <t>fireworks operators to plan a display, especially where a risk or hazard assessment is required;</t>
    </r>
  </si>
  <si>
    <r>
      <t>M</t>
    </r>
    <r>
      <rPr>
        <sz val="10"/>
        <rFont val="Arial"/>
        <family val="2"/>
      </rPr>
      <t xml:space="preserve">   fireworks regulators to develop safe distances and establish risk regimes for fireworks displays;</t>
    </r>
  </si>
  <si>
    <r>
      <t>M</t>
    </r>
    <r>
      <rPr>
        <sz val="10"/>
        <rFont val="Arial"/>
        <family val="2"/>
      </rPr>
      <t xml:space="preserve">   enforcement and investigative agencies to predict possible outcomes of "near misses", or to confirm actual incident data, particularly for presentation in court or in investigation reports;</t>
    </r>
  </si>
  <si>
    <r>
      <t>M</t>
    </r>
    <r>
      <rPr>
        <sz val="10"/>
        <rFont val="Arial"/>
        <family val="2"/>
      </rPr>
      <t xml:space="preserve">    fireworks testers, to establish a safe template for test firings; and</t>
    </r>
  </si>
  <si>
    <r>
      <t>M</t>
    </r>
    <r>
      <rPr>
        <sz val="10"/>
        <rFont val="Arial"/>
        <family val="2"/>
      </rPr>
      <t xml:space="preserve">    fireworks manufacturers, to establish safe distances for their products and predict the effect of variable fuse delay times on burst height.</t>
    </r>
  </si>
  <si>
    <r>
      <t>SHELLCALC</t>
    </r>
    <r>
      <rPr>
        <vertAlign val="superscript"/>
        <sz val="10"/>
        <rFont val="Arial"/>
        <family val="2"/>
      </rPr>
      <t>©</t>
    </r>
    <r>
      <rPr>
        <sz val="10"/>
        <rFont val="Arial"/>
        <family val="2"/>
      </rPr>
      <t xml:space="preserve"> is a freeware program and is designed to run on Microsoft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Excel 2007 or later - limited functionality may be available in previous versions of Excel.</t>
    </r>
  </si>
  <si>
    <t>Copies of this program and updates may be obtained directly from the Journal of Pyrotechnics Web-site - click link below</t>
  </si>
  <si>
    <t>http://www.jpyro.com/wp/?p=23</t>
  </si>
  <si>
    <t>Burst Distance (from firing point)</t>
  </si>
  <si>
    <t>Burst Height (from Ground Level)</t>
  </si>
  <si>
    <t>Vo (m/s)</t>
  </si>
  <si>
    <t>Shell data inc Vo from Russell's book</t>
  </si>
  <si>
    <t>Current Version</t>
  </si>
  <si>
    <t>4.1.1</t>
  </si>
  <si>
    <t>4.1.2</t>
  </si>
  <si>
    <t xml:space="preserve">SHELLCALC v5 </t>
  </si>
  <si>
    <t>Fallout calculations</t>
  </si>
  <si>
    <t>secs</t>
  </si>
  <si>
    <t>m/s</t>
  </si>
  <si>
    <t>horiz</t>
  </si>
  <si>
    <t>Fall 1</t>
  </si>
  <si>
    <t>showfallout</t>
  </si>
  <si>
    <t>Yes</t>
  </si>
  <si>
    <t>No</t>
  </si>
  <si>
    <t>Max fallout range (approx)</t>
  </si>
  <si>
    <t>Shows fallout</t>
  </si>
  <si>
    <t>5.1.1</t>
  </si>
  <si>
    <t>fallout factor</t>
  </si>
  <si>
    <t>mph</t>
  </si>
  <si>
    <t>Beaufort</t>
  </si>
  <si>
    <t>knots</t>
  </si>
  <si>
    <t>sinx</t>
  </si>
  <si>
    <t>cosx</t>
  </si>
  <si>
    <t>angle rad)</t>
  </si>
  <si>
    <t>distance</t>
  </si>
  <si>
    <t>Pythagorous</t>
  </si>
  <si>
    <t>km/h</t>
  </si>
  <si>
    <t xml:space="preserve">Max Height </t>
  </si>
  <si>
    <t>Calculated Muzzle Velocity</t>
  </si>
  <si>
    <t>??? From fallout calc spreadsheet</t>
  </si>
  <si>
    <t>Kamuro calculations</t>
  </si>
  <si>
    <t>5.1.2</t>
  </si>
  <si>
    <t>Normal</t>
  </si>
  <si>
    <t>Kamuro</t>
  </si>
  <si>
    <t>only valid for Shells</t>
  </si>
  <si>
    <t>Max x</t>
  </si>
  <si>
    <t>NEW</t>
  </si>
  <si>
    <t>NEWx</t>
  </si>
  <si>
    <t>NEWz</t>
  </si>
  <si>
    <t>NEWy</t>
  </si>
  <si>
    <t>Max y</t>
  </si>
  <si>
    <t>Maz z</t>
  </si>
  <si>
    <t>Hits Ground?</t>
  </si>
  <si>
    <t>In Air</t>
  </si>
  <si>
    <t>TIME</t>
  </si>
  <si>
    <t>Time</t>
  </si>
  <si>
    <t>Display "Long Burn" fallout?</t>
  </si>
  <si>
    <t xml:space="preserve">Display "Normal" fallout? </t>
  </si>
  <si>
    <t>Essential Input Parameters</t>
  </si>
  <si>
    <t>Optional Input Parameters</t>
  </si>
  <si>
    <t>Display Options</t>
  </si>
  <si>
    <t>Shell Burst Diameter</t>
  </si>
  <si>
    <t>Show Fallout</t>
  </si>
  <si>
    <t>Show Longburn</t>
  </si>
  <si>
    <t>Isshell</t>
  </si>
  <si>
    <t>Longburn factor</t>
  </si>
  <si>
    <t>Ground Level</t>
  </si>
  <si>
    <t>Max X</t>
  </si>
  <si>
    <t>Max Max X</t>
  </si>
  <si>
    <t>Line</t>
  </si>
  <si>
    <t>2 seconds after flight starts</t>
  </si>
  <si>
    <t>Burst Diam</t>
  </si>
  <si>
    <t>Entered Shell burst diameter</t>
  </si>
  <si>
    <t>Calculated/Entered Output Values</t>
  </si>
  <si>
    <t>Optional Input Parameters (leave blank if unknown)</t>
  </si>
  <si>
    <t>ShellCalc Program Options</t>
  </si>
  <si>
    <t>select type from list</t>
  </si>
  <si>
    <t>select calibre from list</t>
  </si>
  <si>
    <t>° angle from vertical</t>
  </si>
  <si>
    <t>select option from list</t>
  </si>
  <si>
    <t>° relative angle</t>
  </si>
  <si>
    <t>Shells/Bombettes</t>
  </si>
  <si>
    <t>Offset for shell size</t>
  </si>
  <si>
    <t>Debris factor</t>
  </si>
  <si>
    <t xml:space="preserve">Long factor </t>
  </si>
  <si>
    <t>Help Text</t>
  </si>
  <si>
    <t>Select COMET or SHELL from dropdown list -this affects whether a shell burst is illustrated (shell) or if the projectile is self-consuming (comet)</t>
  </si>
  <si>
    <t>Select diameter of shell or comet from drop down list</t>
  </si>
  <si>
    <t>Enter firing angle from vertical - eg 0=vertically upwards, 90=horizontal, 180=vertically downwards</t>
  </si>
  <si>
    <t>Select whether to allow for shell drift caused by shell tumbling and bore balloting</t>
  </si>
  <si>
    <t>Enter the wind speed at ground level</t>
  </si>
  <si>
    <t>Insert height of firng point above ground level (for instance for displays from structures)</t>
  </si>
  <si>
    <t>Time taken from launch to burst or comet all-burnt.  Enter if known.  Enter 999 to allow shell/comet to hit ground</t>
  </si>
  <si>
    <t>Enter mass if known, otherwise leave blank</t>
  </si>
  <si>
    <t>Input estimated height of the launch site above mean sea level (AMSL)</t>
  </si>
  <si>
    <t>Select the appropriate Terrain Category (rarely used): 2=Open spaces and water, 3=sports grounds &amp; built up areas</t>
  </si>
  <si>
    <t>The following table shows wind speed conversions</t>
  </si>
  <si>
    <t>5.1.3</t>
  </si>
  <si>
    <t>Restyled</t>
  </si>
  <si>
    <t>Added Long Burn (Kamuro type) effects</t>
  </si>
  <si>
    <t>Add CEN Cat4 Standard parameters (eg standard burst height)</t>
  </si>
  <si>
    <t>Future developments (in progress)</t>
  </si>
  <si>
    <t>Help</t>
  </si>
  <si>
    <t>Entering Data</t>
  </si>
  <si>
    <t>Diameter/Calibre</t>
  </si>
  <si>
    <t>Firing angle</t>
  </si>
  <si>
    <t>Fuse delay</t>
  </si>
  <si>
    <t>Shell Mass</t>
  </si>
  <si>
    <t>ShellCalc Program Options (Rarely used)</t>
  </si>
  <si>
    <t>Display "Normal" fallout?</t>
  </si>
  <si>
    <t>Select if to show long burn (eg Kamuro) fallout (only relevant for shells/bombettes)</t>
  </si>
  <si>
    <t>Select if to show debris fallout (only relevant for shells/bombettes)</t>
  </si>
  <si>
    <t>We hope the following us useful.  We will add to this as the prgram is revised</t>
  </si>
  <si>
    <t>General features</t>
  </si>
  <si>
    <t>Changelog</t>
  </si>
  <si>
    <t>Windspeeds</t>
  </si>
  <si>
    <t>Please click on the Windspeed TAB for conversions</t>
  </si>
  <si>
    <t>Please click on the changelog TAB</t>
  </si>
  <si>
    <t>About</t>
  </si>
  <si>
    <t>Please click on the About TAB for more information</t>
  </si>
  <si>
    <t>Screenshots and help</t>
  </si>
  <si>
    <t>Simulation of burst diameter (for shells only)</t>
  </si>
  <si>
    <t>Burst point (or extinguishing point for comets</t>
  </si>
  <si>
    <t>Trajectory</t>
  </si>
  <si>
    <t>"Normal" Fallout calculation</t>
  </si>
  <si>
    <t>"Long Burn" fallout calculation</t>
  </si>
  <si>
    <t>Launch point</t>
  </si>
  <si>
    <t>Ground level</t>
  </si>
  <si>
    <t>Key</t>
  </si>
  <si>
    <r>
      <t xml:space="preserve">Developed by John Harradine, Manly, Queensland, Australia
Additions by Tom Smith, Davas Ltd, UK - effective May 2012 (see revision log).  
See </t>
    </r>
    <r>
      <rPr>
        <b/>
        <i/>
        <sz val="12"/>
        <color theme="3" tint="-0.249977111117893"/>
        <rFont val="Tahoma"/>
        <family val="2"/>
      </rPr>
      <t>http://www.jpyro.com/wp?p=23</t>
    </r>
    <r>
      <rPr>
        <i/>
        <sz val="12"/>
        <color theme="3" tint="-0.249977111117893"/>
        <rFont val="Tahoma"/>
        <family val="2"/>
      </rPr>
      <t xml:space="preserve"> for more details
See Help TABS for more information</t>
    </r>
  </si>
  <si>
    <t>Main Calculations</t>
  </si>
  <si>
    <t>Calibre</t>
  </si>
  <si>
    <t>Firing Angle</t>
  </si>
  <si>
    <t>Windspeed</t>
  </si>
  <si>
    <t>Wind Angle</t>
  </si>
  <si>
    <t>degrees from vertical</t>
  </si>
  <si>
    <t>Firing Height</t>
  </si>
  <si>
    <t>s (99 to allow to hit ground)</t>
  </si>
  <si>
    <t>Enter any angle for instance: 0=Tailwind, 90=Crosswind from right, 180=headwind</t>
  </si>
  <si>
    <t>Minor bug fixes</t>
  </si>
  <si>
    <t>Entered Shell Burst Height</t>
  </si>
  <si>
    <t>Added manual shell burst height</t>
  </si>
  <si>
    <t>Calc Muzzle param1</t>
  </si>
  <si>
    <t>Calc Muzzle param2</t>
  </si>
  <si>
    <t xml:space="preserve">Calc Muzzle param3 </t>
  </si>
  <si>
    <t>from spreadsheet</t>
  </si>
  <si>
    <t>Muzzle</t>
  </si>
  <si>
    <t>8BH</t>
  </si>
  <si>
    <t>6BH</t>
  </si>
  <si>
    <t>5BH</t>
  </si>
  <si>
    <t>4BH</t>
  </si>
  <si>
    <t>3BH</t>
  </si>
  <si>
    <t>calc muzzle velocity</t>
  </si>
  <si>
    <t>Standard Shell Burst Height</t>
  </si>
  <si>
    <t>m (vertical fired - no wind)</t>
  </si>
  <si>
    <t>Rounded</t>
  </si>
  <si>
    <t>Entered Muzzle velocity</t>
  </si>
  <si>
    <t>lookup</t>
  </si>
  <si>
    <t>Typical values lie in the range 100-120 m/s, 340-400 ft/s - THIS IS OVER-RIDDEN BY SHELL BURST HEIGHT IF ENTERED</t>
  </si>
  <si>
    <t>Observered Shell Burst Height under Standard Conditions (Vertical firing, zero wind)</t>
  </si>
  <si>
    <t>Observered Shell burst diameter</t>
  </si>
  <si>
    <t>Added new plots for use in Powerpont etc</t>
  </si>
  <si>
    <t>This sheet is unprotected so that you</t>
  </si>
  <si>
    <t>may change the axes to suit your model</t>
  </si>
  <si>
    <t>Hints</t>
  </si>
  <si>
    <t>the same - so that the resulting plot is "square"</t>
  </si>
  <si>
    <t>Information</t>
  </si>
  <si>
    <t xml:space="preserve">Keep the total Y-axis and X-axis values </t>
  </si>
  <si>
    <t>Turn off debris settings for clarity</t>
  </si>
  <si>
    <t>Use "snipping tool" or similar to copy/paste</t>
  </si>
  <si>
    <t>into Powerpoint</t>
  </si>
  <si>
    <t>10BH</t>
  </si>
  <si>
    <t>12BH</t>
  </si>
  <si>
    <t>ShellCalc© v5.1.8</t>
  </si>
  <si>
    <t>Added parameter for large shells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</si>
</sst>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Tahoma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0"/>
      <color indexed="12"/>
      <name val="Arial"/>
      <family val="2"/>
    </font>
    <font>
      <sz val="16"/>
      <color indexed="12"/>
      <name val="Arial"/>
      <family val="2"/>
    </font>
    <font>
      <i/>
      <sz val="10"/>
      <name val="Tahoma"/>
      <family val="2"/>
    </font>
    <font>
      <b/>
      <sz val="28"/>
      <color theme="3" tint="-0.249977111117893"/>
      <name val="Tahoma"/>
      <family val="2"/>
    </font>
    <font>
      <sz val="10"/>
      <name val="Wingdings"/>
      <charset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b/>
      <sz val="18"/>
      <color theme="4" tint="-0.249977111117893"/>
      <name val="Arial"/>
      <family val="2"/>
    </font>
    <font>
      <b/>
      <sz val="10"/>
      <name val="Arial"/>
      <family val="2"/>
    </font>
    <font>
      <sz val="10"/>
      <color theme="3"/>
      <name val="Tahoma"/>
      <family val="2"/>
    </font>
    <font>
      <b/>
      <sz val="11"/>
      <color indexed="12"/>
      <name val="Tahoma"/>
      <family val="2"/>
    </font>
    <font>
      <b/>
      <sz val="11"/>
      <color indexed="10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6"/>
      <name val="Arial"/>
      <family val="2"/>
    </font>
    <font>
      <sz val="16"/>
      <name val="Tahoma"/>
      <family val="2"/>
    </font>
    <font>
      <i/>
      <sz val="12"/>
      <color theme="3" tint="-0.249977111117893"/>
      <name val="Tahoma"/>
      <family val="2"/>
    </font>
    <font>
      <b/>
      <i/>
      <sz val="12"/>
      <color theme="3" tint="-0.249977111117893"/>
      <name val="Tahoma"/>
      <family val="2"/>
    </font>
    <font>
      <b/>
      <i/>
      <sz val="28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color rgb="FF0070C0"/>
      <name val="Arial"/>
      <family val="2"/>
    </font>
    <font>
      <b/>
      <sz val="14"/>
      <name val="Calibri"/>
      <family val="2"/>
      <scheme val="minor"/>
    </font>
    <font>
      <b/>
      <sz val="20"/>
      <name val="Arial"/>
      <family val="2"/>
    </font>
    <font>
      <b/>
      <sz val="10"/>
      <color indexed="12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70C0"/>
      <name val="Arial"/>
      <family val="2"/>
    </font>
    <font>
      <b/>
      <sz val="11"/>
      <color rgb="FF9C000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3" tint="0.39994506668294322"/>
      </left>
      <right/>
      <top/>
      <bottom/>
      <diagonal/>
    </border>
    <border>
      <left/>
      <right style="thick">
        <color theme="3" tint="0.39994506668294322"/>
      </right>
      <top/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ck">
        <color theme="3" tint="0.39991454817346722"/>
      </left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31" fillId="20" borderId="0" applyNumberFormat="0" applyBorder="0" applyAlignment="0" applyProtection="0"/>
  </cellStyleXfs>
  <cellXfs count="157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2" fontId="0" fillId="0" borderId="0" xfId="0" applyNumberFormat="1"/>
    <xf numFmtId="164" fontId="1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10" fillId="0" borderId="0" xfId="0" applyFont="1"/>
    <xf numFmtId="0" fontId="11" fillId="0" borderId="0" xfId="0" applyFont="1"/>
    <xf numFmtId="0" fontId="0" fillId="3" borderId="0" xfId="0" applyFill="1"/>
    <xf numFmtId="2" fontId="0" fillId="3" borderId="0" xfId="0" applyNumberFormat="1" applyFill="1"/>
    <xf numFmtId="164" fontId="0" fillId="3" borderId="0" xfId="0" applyNumberFormat="1" applyFill="1"/>
    <xf numFmtId="0" fontId="0" fillId="5" borderId="0" xfId="0" applyFill="1"/>
    <xf numFmtId="0" fontId="1" fillId="0" borderId="0" xfId="0" applyFont="1" applyFill="1" applyBorder="1"/>
    <xf numFmtId="15" fontId="0" fillId="0" borderId="0" xfId="0" applyNumberFormat="1"/>
    <xf numFmtId="0" fontId="0" fillId="6" borderId="0" xfId="0" applyFill="1"/>
    <xf numFmtId="0" fontId="2" fillId="6" borderId="0" xfId="0" applyFont="1" applyFill="1"/>
    <xf numFmtId="14" fontId="0" fillId="0" borderId="0" xfId="0" applyNumberFormat="1"/>
    <xf numFmtId="0" fontId="2" fillId="0" borderId="0" xfId="0" quotePrefix="1" applyFont="1"/>
    <xf numFmtId="0" fontId="3" fillId="0" borderId="18" xfId="0" applyFont="1" applyBorder="1"/>
    <xf numFmtId="0" fontId="13" fillId="0" borderId="19" xfId="0" applyFont="1" applyBorder="1" applyAlignment="1">
      <alignment horizontal="left"/>
    </xf>
    <xf numFmtId="0" fontId="3" fillId="0" borderId="2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0" fillId="10" borderId="18" xfId="0" applyFill="1" applyBorder="1"/>
    <xf numFmtId="0" fontId="0" fillId="10" borderId="19" xfId="0" applyFill="1" applyBorder="1" applyAlignment="1">
      <alignment wrapText="1"/>
    </xf>
    <xf numFmtId="0" fontId="0" fillId="10" borderId="20" xfId="0" applyFill="1" applyBorder="1"/>
    <xf numFmtId="0" fontId="0" fillId="10" borderId="21" xfId="0" applyFill="1" applyBorder="1"/>
    <xf numFmtId="0" fontId="17" fillId="10" borderId="0" xfId="0" applyFont="1" applyFill="1" applyBorder="1" applyAlignment="1">
      <alignment wrapText="1"/>
    </xf>
    <xf numFmtId="0" fontId="0" fillId="10" borderId="22" xfId="0" applyFill="1" applyBorder="1"/>
    <xf numFmtId="0" fontId="0" fillId="10" borderId="0" xfId="0" applyFill="1" applyBorder="1" applyAlignment="1">
      <alignment wrapText="1"/>
    </xf>
    <xf numFmtId="0" fontId="6" fillId="10" borderId="21" xfId="0" applyFont="1" applyFill="1" applyBorder="1"/>
    <xf numFmtId="0" fontId="6" fillId="10" borderId="0" xfId="0" applyFont="1" applyFill="1" applyBorder="1" applyAlignment="1">
      <alignment wrapText="1"/>
    </xf>
    <xf numFmtId="0" fontId="6" fillId="10" borderId="22" xfId="0" applyFont="1" applyFill="1" applyBorder="1"/>
    <xf numFmtId="0" fontId="14" fillId="10" borderId="0" xfId="0" applyFont="1" applyFill="1" applyBorder="1" applyAlignment="1">
      <alignment wrapText="1"/>
    </xf>
    <xf numFmtId="0" fontId="2" fillId="10" borderId="0" xfId="0" applyFont="1" applyFill="1" applyBorder="1" applyAlignment="1">
      <alignment wrapText="1"/>
    </xf>
    <xf numFmtId="0" fontId="16" fillId="10" borderId="0" xfId="1" applyFill="1" applyBorder="1" applyAlignment="1">
      <alignment wrapText="1"/>
    </xf>
    <xf numFmtId="0" fontId="6" fillId="10" borderId="23" xfId="0" applyFont="1" applyFill="1" applyBorder="1"/>
    <xf numFmtId="0" fontId="0" fillId="10" borderId="24" xfId="0" applyFill="1" applyBorder="1" applyAlignment="1">
      <alignment wrapText="1"/>
    </xf>
    <xf numFmtId="0" fontId="6" fillId="10" borderId="25" xfId="0" applyFont="1" applyFill="1" applyBorder="1"/>
    <xf numFmtId="0" fontId="18" fillId="0" borderId="0" xfId="0" applyFont="1"/>
    <xf numFmtId="0" fontId="18" fillId="0" borderId="0" xfId="0" applyFont="1" applyAlignment="1">
      <alignment horizontal="right"/>
    </xf>
    <xf numFmtId="0" fontId="20" fillId="8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vertical="center"/>
    </xf>
    <xf numFmtId="1" fontId="21" fillId="4" borderId="0" xfId="0" applyNumberFormat="1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12" fillId="8" borderId="3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164" fontId="21" fillId="4" borderId="0" xfId="0" applyNumberFormat="1" applyFont="1" applyFill="1" applyBorder="1" applyAlignment="1">
      <alignment vertical="center"/>
    </xf>
    <xf numFmtId="0" fontId="12" fillId="8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vertical="center"/>
    </xf>
    <xf numFmtId="0" fontId="12" fillId="4" borderId="8" xfId="0" quotePrefix="1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23" fillId="12" borderId="0" xfId="3"/>
    <xf numFmtId="2" fontId="23" fillId="12" borderId="0" xfId="3" applyNumberFormat="1"/>
    <xf numFmtId="0" fontId="24" fillId="13" borderId="0" xfId="4"/>
    <xf numFmtId="0" fontId="22" fillId="11" borderId="0" xfId="2"/>
    <xf numFmtId="0" fontId="2" fillId="19" borderId="0" xfId="0" applyFont="1" applyFill="1"/>
    <xf numFmtId="0" fontId="0" fillId="19" borderId="0" xfId="0" applyFill="1"/>
    <xf numFmtId="2" fontId="24" fillId="13" borderId="0" xfId="4" applyNumberFormat="1"/>
    <xf numFmtId="0" fontId="3" fillId="0" borderId="19" xfId="0" applyFont="1" applyBorder="1"/>
    <xf numFmtId="0" fontId="31" fillId="20" borderId="0" xfId="5"/>
    <xf numFmtId="0" fontId="3" fillId="10" borderId="2" xfId="0" applyFont="1" applyFill="1" applyBorder="1" applyAlignment="1">
      <alignment horizontal="right" vertical="center"/>
    </xf>
    <xf numFmtId="0" fontId="20" fillId="10" borderId="0" xfId="0" applyFont="1" applyFill="1" applyBorder="1" applyAlignment="1" applyProtection="1">
      <alignment vertical="center"/>
      <protection locked="0"/>
    </xf>
    <xf numFmtId="0" fontId="12" fillId="10" borderId="3" xfId="0" applyFont="1" applyFill="1" applyBorder="1" applyAlignment="1">
      <alignment vertical="center"/>
    </xf>
    <xf numFmtId="0" fontId="3" fillId="10" borderId="4" xfId="0" applyFont="1" applyFill="1" applyBorder="1" applyAlignment="1">
      <alignment horizontal="right" vertical="center"/>
    </xf>
    <xf numFmtId="0" fontId="20" fillId="10" borderId="5" xfId="0" applyFont="1" applyFill="1" applyBorder="1" applyAlignment="1" applyProtection="1">
      <alignment horizontal="right" vertical="center"/>
      <protection locked="0"/>
    </xf>
    <xf numFmtId="0" fontId="12" fillId="10" borderId="6" xfId="0" applyFont="1" applyFill="1" applyBorder="1" applyAlignment="1">
      <alignment vertical="center"/>
    </xf>
    <xf numFmtId="0" fontId="20" fillId="18" borderId="34" xfId="0" applyFont="1" applyFill="1" applyBorder="1" applyAlignment="1" applyProtection="1">
      <alignment horizontal="right" vertical="center"/>
      <protection locked="0"/>
    </xf>
    <xf numFmtId="0" fontId="3" fillId="18" borderId="37" xfId="0" applyFont="1" applyFill="1" applyBorder="1" applyAlignment="1">
      <alignment horizontal="right" vertical="center"/>
    </xf>
    <xf numFmtId="0" fontId="20" fillId="18" borderId="38" xfId="0" applyFont="1" applyFill="1" applyBorder="1" applyAlignment="1" applyProtection="1">
      <alignment horizontal="right" vertical="center"/>
      <protection locked="0"/>
    </xf>
    <xf numFmtId="0" fontId="12" fillId="18" borderId="39" xfId="0" applyFont="1" applyFill="1" applyBorder="1" applyAlignment="1">
      <alignment vertical="center"/>
    </xf>
    <xf numFmtId="0" fontId="3" fillId="18" borderId="40" xfId="0" applyFont="1" applyFill="1" applyBorder="1" applyAlignment="1">
      <alignment horizontal="right" vertical="center"/>
    </xf>
    <xf numFmtId="0" fontId="12" fillId="18" borderId="41" xfId="0" applyFont="1" applyFill="1" applyBorder="1" applyAlignment="1">
      <alignment vertical="center"/>
    </xf>
    <xf numFmtId="0" fontId="8" fillId="0" borderId="0" xfId="0" applyFont="1"/>
    <xf numFmtId="0" fontId="32" fillId="0" borderId="0" xfId="0" applyFont="1"/>
    <xf numFmtId="0" fontId="8" fillId="15" borderId="30" xfId="0" applyFont="1" applyFill="1" applyBorder="1" applyAlignment="1">
      <alignment horizontal="center"/>
    </xf>
    <xf numFmtId="0" fontId="33" fillId="9" borderId="31" xfId="0" applyFont="1" applyFill="1" applyBorder="1" applyAlignment="1">
      <alignment horizontal="center"/>
    </xf>
    <xf numFmtId="0" fontId="8" fillId="16" borderId="31" xfId="0" applyFont="1" applyFill="1" applyBorder="1" applyAlignment="1">
      <alignment horizontal="center"/>
    </xf>
    <xf numFmtId="0" fontId="8" fillId="17" borderId="31" xfId="0" applyFont="1" applyFill="1" applyBorder="1" applyAlignment="1">
      <alignment horizontal="center"/>
    </xf>
    <xf numFmtId="0" fontId="8" fillId="18" borderId="32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33" fillId="9" borderId="0" xfId="0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164" fontId="6" fillId="18" borderId="26" xfId="0" applyNumberFormat="1" applyFont="1" applyFill="1" applyBorder="1" applyAlignment="1">
      <alignment horizontal="center"/>
    </xf>
    <xf numFmtId="0" fontId="6" fillId="15" borderId="27" xfId="0" applyFont="1" applyFill="1" applyBorder="1" applyAlignment="1">
      <alignment horizontal="center"/>
    </xf>
    <xf numFmtId="0" fontId="33" fillId="9" borderId="28" xfId="0" applyFont="1" applyFill="1" applyBorder="1" applyAlignment="1">
      <alignment horizontal="center"/>
    </xf>
    <xf numFmtId="0" fontId="6" fillId="16" borderId="28" xfId="0" applyFont="1" applyFill="1" applyBorder="1" applyAlignment="1">
      <alignment horizontal="center"/>
    </xf>
    <xf numFmtId="0" fontId="6" fillId="17" borderId="28" xfId="0" applyFont="1" applyFill="1" applyBorder="1" applyAlignment="1">
      <alignment horizontal="center"/>
    </xf>
    <xf numFmtId="164" fontId="6" fillId="18" borderId="29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35" fillId="0" borderId="0" xfId="0" applyFont="1"/>
    <xf numFmtId="0" fontId="36" fillId="8" borderId="5" xfId="0" applyFont="1" applyFill="1" applyBorder="1" applyAlignment="1" applyProtection="1">
      <alignment horizontal="right" vertical="center"/>
      <protection locked="0"/>
    </xf>
    <xf numFmtId="0" fontId="37" fillId="0" borderId="0" xfId="0" applyFont="1"/>
    <xf numFmtId="0" fontId="38" fillId="0" borderId="0" xfId="0" applyFont="1"/>
    <xf numFmtId="0" fontId="30" fillId="0" borderId="0" xfId="0" applyFont="1"/>
    <xf numFmtId="0" fontId="39" fillId="0" borderId="0" xfId="0" applyFont="1"/>
    <xf numFmtId="0" fontId="40" fillId="12" borderId="0" xfId="3" applyFont="1"/>
    <xf numFmtId="2" fontId="40" fillId="12" borderId="0" xfId="3" applyNumberFormat="1" applyFont="1"/>
    <xf numFmtId="0" fontId="41" fillId="13" borderId="0" xfId="4" applyFont="1"/>
    <xf numFmtId="2" fontId="41" fillId="13" borderId="0" xfId="4" applyNumberFormat="1" applyFont="1"/>
    <xf numFmtId="0" fontId="0" fillId="23" borderId="46" xfId="0" applyFill="1" applyBorder="1"/>
    <xf numFmtId="0" fontId="0" fillId="23" borderId="47" xfId="0" applyFill="1" applyBorder="1"/>
    <xf numFmtId="0" fontId="0" fillId="23" borderId="0" xfId="0" applyFill="1" applyBorder="1"/>
    <xf numFmtId="0" fontId="0" fillId="23" borderId="26" xfId="0" applyFill="1" applyBorder="1"/>
    <xf numFmtId="0" fontId="2" fillId="23" borderId="0" xfId="0" applyFont="1" applyFill="1" applyBorder="1"/>
    <xf numFmtId="0" fontId="0" fillId="23" borderId="28" xfId="0" applyFill="1" applyBorder="1"/>
    <xf numFmtId="0" fontId="0" fillId="23" borderId="29" xfId="0" applyFill="1" applyBorder="1"/>
    <xf numFmtId="0" fontId="18" fillId="23" borderId="45" xfId="0" applyFont="1" applyFill="1" applyBorder="1" applyAlignment="1">
      <alignment horizontal="right"/>
    </xf>
    <xf numFmtId="0" fontId="18" fillId="23" borderId="1" xfId="0" applyFont="1" applyFill="1" applyBorder="1" applyAlignment="1">
      <alignment horizontal="right"/>
    </xf>
    <xf numFmtId="0" fontId="18" fillId="23" borderId="27" xfId="0" applyFont="1" applyFill="1" applyBorder="1" applyAlignment="1">
      <alignment horizontal="right"/>
    </xf>
    <xf numFmtId="0" fontId="3" fillId="16" borderId="42" xfId="0" applyFont="1" applyFill="1" applyBorder="1" applyAlignment="1">
      <alignment horizontal="right" vertical="center"/>
    </xf>
    <xf numFmtId="0" fontId="20" fillId="16" borderId="43" xfId="0" applyFont="1" applyFill="1" applyBorder="1" applyAlignment="1" applyProtection="1">
      <alignment vertical="center"/>
      <protection locked="0"/>
    </xf>
    <xf numFmtId="0" fontId="12" fillId="16" borderId="44" xfId="0" applyFont="1" applyFill="1" applyBorder="1" applyAlignment="1">
      <alignment vertical="center"/>
    </xf>
    <xf numFmtId="0" fontId="42" fillId="0" borderId="0" xfId="0" applyFont="1"/>
    <xf numFmtId="0" fontId="0" fillId="0" borderId="0" xfId="0" applyFont="1"/>
    <xf numFmtId="0" fontId="26" fillId="7" borderId="12" xfId="0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/>
    </xf>
    <xf numFmtId="0" fontId="26" fillId="9" borderId="15" xfId="0" applyFont="1" applyFill="1" applyBorder="1" applyAlignment="1">
      <alignment horizontal="center"/>
    </xf>
    <xf numFmtId="0" fontId="25" fillId="9" borderId="16" xfId="0" applyFont="1" applyFill="1" applyBorder="1" applyAlignment="1">
      <alignment horizontal="center"/>
    </xf>
    <xf numFmtId="0" fontId="25" fillId="9" borderId="17" xfId="0" applyFont="1" applyFill="1" applyBorder="1" applyAlignment="1">
      <alignment horizontal="center"/>
    </xf>
    <xf numFmtId="0" fontId="29" fillId="0" borderId="19" xfId="1" applyFont="1" applyBorder="1" applyAlignment="1">
      <alignment horizontal="left" vertical="center"/>
    </xf>
    <xf numFmtId="1" fontId="27" fillId="14" borderId="18" xfId="0" applyNumberFormat="1" applyFont="1" applyFill="1" applyBorder="1" applyAlignment="1">
      <alignment horizontal="center" vertical="center" wrapText="1"/>
    </xf>
    <xf numFmtId="1" fontId="19" fillId="14" borderId="19" xfId="0" applyNumberFormat="1" applyFont="1" applyFill="1" applyBorder="1" applyAlignment="1">
      <alignment horizontal="center" vertical="center" wrapText="1"/>
    </xf>
    <xf numFmtId="1" fontId="19" fillId="14" borderId="20" xfId="0" applyNumberFormat="1" applyFont="1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26" fillId="21" borderId="35" xfId="0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  <xf numFmtId="0" fontId="25" fillId="21" borderId="36" xfId="0" applyFont="1" applyFill="1" applyBorder="1" applyAlignment="1">
      <alignment horizontal="center"/>
    </xf>
    <xf numFmtId="0" fontId="26" fillId="22" borderId="42" xfId="0" applyFont="1" applyFill="1" applyBorder="1" applyAlignment="1">
      <alignment horizontal="center"/>
    </xf>
    <xf numFmtId="0" fontId="25" fillId="22" borderId="43" xfId="0" applyFont="1" applyFill="1" applyBorder="1" applyAlignment="1">
      <alignment horizontal="center"/>
    </xf>
    <xf numFmtId="0" fontId="25" fillId="22" borderId="44" xfId="0" applyFont="1" applyFill="1" applyBorder="1" applyAlignment="1">
      <alignment horizontal="center"/>
    </xf>
    <xf numFmtId="0" fontId="34" fillId="11" borderId="0" xfId="2" applyFont="1" applyAlignment="1"/>
    <xf numFmtId="0" fontId="0" fillId="0" borderId="0" xfId="0" applyAlignment="1"/>
  </cellXfs>
  <cellStyles count="6">
    <cellStyle name="60% - Accent1" xfId="5" builtinId="32"/>
    <cellStyle name="Bad" xfId="3" builtinId="27"/>
    <cellStyle name="Good" xfId="2" builtinId="26"/>
    <cellStyle name="Hyperlink" xfId="1" builtinId="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FFFF66"/>
      <color rgb="FF08B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GB" sz="1400" b="1" i="0" u="none" strike="noStrike" baseline="0">
                <a:solidFill>
                  <a:schemeClr val="accent4">
                    <a:lumMod val="75000"/>
                  </a:schemeClr>
                </a:solidFill>
                <a:latin typeface="Tahoma"/>
                <a:ea typeface="Tahoma"/>
                <a:cs typeface="Tahoma"/>
              </a:rPr>
              <a:t>Predicted Ground Track [x/y plot]</a:t>
            </a:r>
          </a:p>
        </c:rich>
      </c:tx>
      <c:layout>
        <c:manualLayout>
          <c:xMode val="edge"/>
          <c:yMode val="edge"/>
          <c:x val="4.2900661158240691E-2"/>
          <c:y val="8.9231340383333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57463412823215E-2"/>
          <c:y val="0.15755713999728158"/>
          <c:w val="0.88135654729745749"/>
          <c:h val="0.54321635011848568"/>
        </c:manualLayout>
      </c:layout>
      <c:scatterChart>
        <c:scatterStyle val="smoothMarker"/>
        <c:varyColors val="0"/>
        <c:ser>
          <c:idx val="2"/>
          <c:order val="0"/>
          <c:tx>
            <c:v>Wind Direction/Strength</c:v>
          </c:tx>
          <c:spPr>
            <a:ln w="38100">
              <a:solidFill>
                <a:srgbClr val="08B000"/>
              </a:solidFill>
              <a:prstDash val="solid"/>
              <a:tailEnd type="stealth" w="lg" len="lg"/>
            </a:ln>
          </c:spPr>
          <c:marker>
            <c:symbol val="none"/>
          </c:marker>
          <c:dPt>
            <c:idx val="1"/>
            <c:bubble3D val="0"/>
            <c:spPr>
              <a:ln w="38100" cmpd="sng">
                <a:solidFill>
                  <a:srgbClr val="08B000"/>
                </a:solidFill>
                <a:prstDash val="solid"/>
                <a:tailEnd type="stealth" w="lg" len="lg"/>
              </a:ln>
            </c:spPr>
          </c:dPt>
          <c:xVal>
            <c:numRef>
              <c:f>Fallout!$S$37:$S$38</c:f>
              <c:numCache>
                <c:formatCode>General</c:formatCode>
                <c:ptCount val="2"/>
                <c:pt idx="0">
                  <c:v>0</c:v>
                </c:pt>
                <c:pt idx="1">
                  <c:v>62.083333333333186</c:v>
                </c:pt>
              </c:numCache>
            </c:numRef>
          </c:xVal>
          <c:yVal>
            <c:numRef>
              <c:f>Fallout!$R$37:$R$38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0"/>
          <c:order val="1"/>
          <c:tx>
            <c:v>Ground Track/Trajectory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Calculations!$V$6:$V$235</c:f>
              <c:numCache>
                <c:formatCode>General</c:formatCode>
                <c:ptCount val="230"/>
                <c:pt idx="1">
                  <c:v>0.83430085021526412</c:v>
                </c:pt>
                <c:pt idx="2">
                  <c:v>1.6440370284333325</c:v>
                </c:pt>
                <c:pt idx="3">
                  <c:v>2.4343162198293022</c:v>
                </c:pt>
                <c:pt idx="4">
                  <c:v>3.2085776583110484</c:v>
                </c:pt>
                <c:pt idx="5">
                  <c:v>3.9693662930330555</c:v>
                </c:pt>
                <c:pt idx="6">
                  <c:v>4.7186518907565702</c:v>
                </c:pt>
                <c:pt idx="7">
                  <c:v>5.4580027106806881</c:v>
                </c:pt>
                <c:pt idx="8">
                  <c:v>6.1886929997367002</c:v>
                </c:pt>
                <c:pt idx="9">
                  <c:v>6.9117746203368799</c:v>
                </c:pt>
                <c:pt idx="10">
                  <c:v>7.6281271406179183</c:v>
                </c:pt>
                <c:pt idx="11">
                  <c:v>8.3384940974229593</c:v>
                </c:pt>
                <c:pt idx="12">
                  <c:v>9.043509952910691</c:v>
                </c:pt>
                <c:pt idx="13">
                  <c:v>9.7437205619296741</c:v>
                </c:pt>
                <c:pt idx="14">
                  <c:v>10.439598987056222</c:v>
                </c:pt>
                <c:pt idx="15">
                  <c:v>11.131557901992462</c:v>
                </c:pt>
                <c:pt idx="16">
                  <c:v>11.819959445418144</c:v>
                </c:pt>
                <c:pt idx="17">
                  <c:v>12.505123138525333</c:v>
                </c:pt>
                <c:pt idx="18">
                  <c:v>13.187332311177888</c:v>
                </c:pt>
                <c:pt idx="19">
                  <c:v>13.86683936509748</c:v>
                </c:pt>
                <c:pt idx="20">
                  <c:v>14.543870120113343</c:v>
                </c:pt>
                <c:pt idx="21">
                  <c:v>15.218627430263341</c:v>
                </c:pt>
                <c:pt idx="22">
                  <c:v>15.891294213243674</c:v>
                </c:pt>
                <c:pt idx="23">
                  <c:v>16.562036004633821</c:v>
                </c:pt>
                <c:pt idx="24">
                  <c:v>17.231003124267001</c:v>
                </c:pt>
                <c:pt idx="25">
                  <c:v>17.89833252386741</c:v>
                </c:pt>
                <c:pt idx="26">
                  <c:v>18.56414937108929</c:v>
                </c:pt>
                <c:pt idx="27">
                  <c:v>19.22856841427231</c:v>
                </c:pt>
                <c:pt idx="28">
                  <c:v>19.891695163783638</c:v>
                </c:pt>
                <c:pt idx="29">
                  <c:v>20.55362691917454</c:v>
                </c:pt>
                <c:pt idx="30">
                  <c:v>21.21445366611491</c:v>
                </c:pt>
                <c:pt idx="31">
                  <c:v>21.87425886286799</c:v>
                </c:pt>
                <c:pt idx="32">
                  <c:v>22.533120132693014</c:v>
                </c:pt>
                <c:pt idx="33">
                  <c:v>23.191109875836386</c:v>
                </c:pt>
                <c:pt idx="34">
                  <c:v>23.848295812555328</c:v>
                </c:pt>
                <c:pt idx="35">
                  <c:v>24.50474146680595</c:v>
                </c:pt>
                <c:pt idx="36">
                  <c:v>25.160506598738376</c:v>
                </c:pt>
                <c:pt idx="37">
                  <c:v>25.81564759291037</c:v>
                </c:pt>
                <c:pt idx="38">
                  <c:v>26.470217808106241</c:v>
                </c:pt>
                <c:pt idx="39">
                  <c:v>27.124267893787867</c:v>
                </c:pt>
                <c:pt idx="40">
                  <c:v>27.777846077473527</c:v>
                </c:pt>
                <c:pt idx="41">
                  <c:v>28.430998426704864</c:v>
                </c:pt>
                <c:pt idx="42">
                  <c:v>29.083769088687369</c:v>
                </c:pt>
                <c:pt idx="43">
                  <c:v>29.736200510128661</c:v>
                </c:pt>
                <c:pt idx="44">
                  <c:v>30.388333639174366</c:v>
                </c:pt>
                <c:pt idx="45">
                  <c:v>31.040208110497453</c:v>
                </c:pt>
                <c:pt idx="46">
                  <c:v>31.691862413166792</c:v>
                </c:pt>
                <c:pt idx="47">
                  <c:v>32.343334037912392</c:v>
                </c:pt>
                <c:pt idx="48">
                  <c:v>32.994659592704046</c:v>
                </c:pt>
                <c:pt idx="49">
                  <c:v>33.645874851301286</c:v>
                </c:pt>
                <c:pt idx="50">
                  <c:v>34.297014599113979</c:v>
                </c:pt>
                <c:pt idx="51">
                  <c:v>34.948111503479211</c:v>
                </c:pt>
                <c:pt idx="52">
                  <c:v>35.599186096513421</c:v>
                </c:pt>
                <c:pt idx="53">
                  <c:v>36.25021995687959</c:v>
                </c:pt>
                <c:pt idx="54">
                  <c:v>36.901180931337379</c:v>
                </c:pt>
                <c:pt idx="55">
                  <c:v>37.552034934952395</c:v>
                </c:pt>
                <c:pt idx="56">
                  <c:v>38.202747448126772</c:v>
                </c:pt>
                <c:pt idx="57">
                  <c:v>38.85328390569304</c:v>
                </c:pt>
                <c:pt idx="58">
                  <c:v>39.503609868477994</c:v>
                </c:pt>
                <c:pt idx="59">
                  <c:v>40.153691128574877</c:v>
                </c:pt>
                <c:pt idx="60">
                  <c:v>40.803493787790906</c:v>
                </c:pt>
                <c:pt idx="61">
                  <c:v>41.452984322466008</c:v>
                </c:pt>
                <c:pt idx="62">
                  <c:v>42.102129639797944</c:v>
                </c:pt>
                <c:pt idx="63">
                  <c:v>42.750897127859794</c:v>
                </c:pt>
                <c:pt idx="64">
                  <c:v>43.399254700278668</c:v>
                </c:pt>
                <c:pt idx="65">
                  <c:v>44.047170836000298</c:v>
                </c:pt>
                <c:pt idx="66">
                  <c:v>44.694614614310808</c:v>
                </c:pt>
                <c:pt idx="67">
                  <c:v>45.341555745169835</c:v>
                </c:pt>
                <c:pt idx="68">
                  <c:v>45.987964594859974</c:v>
                </c:pt>
                <c:pt idx="69">
                  <c:v>46.633812206943958</c:v>
                </c:pt>
                <c:pt idx="70">
                  <c:v>47.279070318525882</c:v>
                </c:pt>
                <c:pt idx="71">
                  <c:v>47.923711371828041</c:v>
                </c:pt>
                <c:pt idx="72">
                  <c:v>48.567708521114284</c:v>
                </c:pt>
                <c:pt idx="73">
                  <c:v>49.211035635012117</c:v>
                </c:pt>
                <c:pt idx="74">
                  <c:v>49.853667294306391</c:v>
                </c:pt>
                <c:pt idx="75">
                  <c:v>50.495578785296367</c:v>
                </c:pt>
                <c:pt idx="76">
                  <c:v>51.13674608882426</c:v>
                </c:pt>
                <c:pt idx="77">
                  <c:v>51.7771458650965</c:v>
                </c:pt>
                <c:pt idx="78">
                  <c:v>52.416755434428303</c:v>
                </c:pt>
                <c:pt idx="79">
                  <c:v>53.05555275404771</c:v>
                </c:pt>
                <c:pt idx="80">
                  <c:v>53.693516391096644</c:v>
                </c:pt>
                <c:pt idx="81">
                  <c:v>54.330625491963566</c:v>
                </c:pt>
                <c:pt idx="82">
                  <c:v>54.966859748075173</c:v>
                </c:pt>
                <c:pt idx="83">
                  <c:v>55.602199358262681</c:v>
                </c:pt>
                <c:pt idx="84">
                  <c:v>56.236624987802145</c:v>
                </c:pt>
                <c:pt idx="85">
                  <c:v>56.870117724207105</c:v>
                </c:pt>
                <c:pt idx="86">
                  <c:v>57.50265902982612</c:v>
                </c:pt>
                <c:pt idx="87">
                  <c:v>58.134230691266559</c:v>
                </c:pt>
                <c:pt idx="88">
                  <c:v>58.764814765629566</c:v>
                </c:pt>
                <c:pt idx="89">
                  <c:v>59.394393523498302</c:v>
                </c:pt>
                <c:pt idx="90">
                  <c:v>60.022949388572165</c:v>
                </c:pt>
                <c:pt idx="91">
                  <c:v>60.65046487378234</c:v>
                </c:pt>
                <c:pt idx="92">
                  <c:v>61.27692251365761</c:v>
                </c:pt>
                <c:pt idx="93">
                  <c:v>61.902304792632179</c:v>
                </c:pt>
                <c:pt idx="94">
                  <c:v>62.526594068897104</c:v>
                </c:pt>
                <c:pt idx="95">
                  <c:v>63.149772493290712</c:v>
                </c:pt>
                <c:pt idx="96">
                  <c:v>63.771821922597681</c:v>
                </c:pt>
                <c:pt idx="97">
                  <c:v>64.392723826476001</c:v>
                </c:pt>
                <c:pt idx="98">
                  <c:v>65.012459187049444</c:v>
                </c:pt>
                <c:pt idx="99">
                  <c:v>65.631008389982128</c:v>
                </c:pt>
                <c:pt idx="100">
                  <c:v>66.248351105579275</c:v>
                </c:pt>
                <c:pt idx="101">
                  <c:v>66.864466158119569</c:v>
                </c:pt>
                <c:pt idx="102">
                  <c:v>67.479331381198691</c:v>
                </c:pt>
                <c:pt idx="103">
                  <c:v>68.092923456321657</c:v>
                </c:pt>
                <c:pt idx="104">
                  <c:v>68.705217731284648</c:v>
                </c:pt>
                <c:pt idx="105">
                  <c:v>69.316188013978532</c:v>
                </c:pt>
                <c:pt idx="106">
                  <c:v>69.925806336047046</c:v>
                </c:pt>
                <c:pt idx="107">
                  <c:v>70.534042679226246</c:v>
                </c:pt>
                <c:pt idx="108">
                  <c:v>71.140864655007135</c:v>
                </c:pt>
                <c:pt idx="109">
                  <c:v>71.74623712524054</c:v>
                </c:pt>
                <c:pt idx="110">
                  <c:v>72.350121747042991</c:v>
                </c:pt>
                <c:pt idx="111">
                  <c:v>72.952476419228816</c:v>
                </c:pt>
                <c:pt idx="112">
                  <c:v>73.553254598454885</c:v>
                </c:pt>
                <c:pt idx="113">
                  <c:v>74.152404439579499</c:v>
                </c:pt>
                <c:pt idx="114">
                  <c:v>74.749867693369424</c:v>
                </c:pt>
                <c:pt idx="115">
                  <c:v>75.345578260101732</c:v>
                </c:pt>
                <c:pt idx="116">
                  <c:v>75.939460239192741</c:v>
                </c:pt>
                <c:pt idx="117">
                  <c:v>76.53142521116213</c:v>
                </c:pt>
                <c:pt idx="118">
                  <c:v>77.121368291792621</c:v>
                </c:pt>
                <c:pt idx="119">
                  <c:v>77.709162096189715</c:v>
                </c:pt>
                <c:pt idx="120">
                  <c:v>78.294646838252078</c:v>
                </c:pt>
                <c:pt idx="121">
                  <c:v>78.877612410359504</c:v>
                </c:pt>
                <c:pt idx="122">
                  <c:v>79.457760647200004</c:v>
                </c:pt>
                <c:pt idx="123">
                  <c:v>80.034601194491032</c:v>
                </c:pt>
                <c:pt idx="124">
                  <c:v>80.034601194491032</c:v>
                </c:pt>
                <c:pt idx="125">
                  <c:v>80.034601194491032</c:v>
                </c:pt>
                <c:pt idx="126">
                  <c:v>80.034601194491032</c:v>
                </c:pt>
                <c:pt idx="127">
                  <c:v>80.034601194491032</c:v>
                </c:pt>
                <c:pt idx="128">
                  <c:v>80.034601194491032</c:v>
                </c:pt>
                <c:pt idx="129">
                  <c:v>80.034601194491032</c:v>
                </c:pt>
                <c:pt idx="130">
                  <c:v>80.034601194491032</c:v>
                </c:pt>
                <c:pt idx="131">
                  <c:v>80.034601194491032</c:v>
                </c:pt>
                <c:pt idx="132">
                  <c:v>80.034601194491032</c:v>
                </c:pt>
                <c:pt idx="133">
                  <c:v>80.034601194491032</c:v>
                </c:pt>
                <c:pt idx="134">
                  <c:v>80.034601194491032</c:v>
                </c:pt>
                <c:pt idx="135">
                  <c:v>80.034601194491032</c:v>
                </c:pt>
                <c:pt idx="136">
                  <c:v>80.034601194491032</c:v>
                </c:pt>
                <c:pt idx="137">
                  <c:v>80.034601194491032</c:v>
                </c:pt>
                <c:pt idx="138">
                  <c:v>80.034601194491032</c:v>
                </c:pt>
                <c:pt idx="139">
                  <c:v>80.034601194491032</c:v>
                </c:pt>
                <c:pt idx="140">
                  <c:v>80.034601194491032</c:v>
                </c:pt>
                <c:pt idx="141">
                  <c:v>80.034601194491032</c:v>
                </c:pt>
                <c:pt idx="142">
                  <c:v>80.034601194491032</c:v>
                </c:pt>
                <c:pt idx="143">
                  <c:v>80.034601194491032</c:v>
                </c:pt>
                <c:pt idx="144">
                  <c:v>80.034601194491032</c:v>
                </c:pt>
                <c:pt idx="145">
                  <c:v>80.034601194491032</c:v>
                </c:pt>
                <c:pt idx="146">
                  <c:v>80.034601194491032</c:v>
                </c:pt>
                <c:pt idx="147">
                  <c:v>80.034601194491032</c:v>
                </c:pt>
                <c:pt idx="148">
                  <c:v>80.034601194491032</c:v>
                </c:pt>
                <c:pt idx="149">
                  <c:v>80.034601194491032</c:v>
                </c:pt>
                <c:pt idx="150">
                  <c:v>80.034601194491032</c:v>
                </c:pt>
                <c:pt idx="151">
                  <c:v>80.034601194491032</c:v>
                </c:pt>
                <c:pt idx="152">
                  <c:v>80.034601194491032</c:v>
                </c:pt>
                <c:pt idx="153">
                  <c:v>80.034601194491032</c:v>
                </c:pt>
                <c:pt idx="154">
                  <c:v>80.034601194491032</c:v>
                </c:pt>
                <c:pt idx="155">
                  <c:v>80.034601194491032</c:v>
                </c:pt>
                <c:pt idx="156">
                  <c:v>80.034601194491032</c:v>
                </c:pt>
                <c:pt idx="157">
                  <c:v>80.034601194491032</c:v>
                </c:pt>
                <c:pt idx="158">
                  <c:v>80.034601194491032</c:v>
                </c:pt>
                <c:pt idx="159">
                  <c:v>80.034601194491032</c:v>
                </c:pt>
                <c:pt idx="160">
                  <c:v>80.034601194491032</c:v>
                </c:pt>
                <c:pt idx="161">
                  <c:v>80.034601194491032</c:v>
                </c:pt>
                <c:pt idx="162">
                  <c:v>80.034601194491032</c:v>
                </c:pt>
                <c:pt idx="163">
                  <c:v>80.034601194491032</c:v>
                </c:pt>
                <c:pt idx="164">
                  <c:v>80.034601194491032</c:v>
                </c:pt>
                <c:pt idx="165">
                  <c:v>80.034601194491032</c:v>
                </c:pt>
                <c:pt idx="166">
                  <c:v>80.034601194491032</c:v>
                </c:pt>
                <c:pt idx="167">
                  <c:v>80.034601194491032</c:v>
                </c:pt>
                <c:pt idx="168">
                  <c:v>80.034601194491032</c:v>
                </c:pt>
                <c:pt idx="169">
                  <c:v>80.034601194491032</c:v>
                </c:pt>
                <c:pt idx="170">
                  <c:v>80.034601194491032</c:v>
                </c:pt>
                <c:pt idx="171">
                  <c:v>80.034601194491032</c:v>
                </c:pt>
                <c:pt idx="172">
                  <c:v>80.034601194491032</c:v>
                </c:pt>
                <c:pt idx="173">
                  <c:v>80.034601194491032</c:v>
                </c:pt>
                <c:pt idx="174">
                  <c:v>80.034601194491032</c:v>
                </c:pt>
                <c:pt idx="175">
                  <c:v>80.034601194491032</c:v>
                </c:pt>
                <c:pt idx="176">
                  <c:v>80.034601194491032</c:v>
                </c:pt>
                <c:pt idx="177">
                  <c:v>80.034601194491032</c:v>
                </c:pt>
                <c:pt idx="178">
                  <c:v>80.034601194491032</c:v>
                </c:pt>
                <c:pt idx="179">
                  <c:v>80.034601194491032</c:v>
                </c:pt>
                <c:pt idx="180">
                  <c:v>80.034601194491032</c:v>
                </c:pt>
                <c:pt idx="181">
                  <c:v>80.034601194491032</c:v>
                </c:pt>
                <c:pt idx="182">
                  <c:v>80.034601194491032</c:v>
                </c:pt>
                <c:pt idx="183">
                  <c:v>80.034601194491032</c:v>
                </c:pt>
                <c:pt idx="184">
                  <c:v>80.034601194491032</c:v>
                </c:pt>
                <c:pt idx="185">
                  <c:v>80.034601194491032</c:v>
                </c:pt>
                <c:pt idx="186">
                  <c:v>80.034601194491032</c:v>
                </c:pt>
                <c:pt idx="187">
                  <c:v>80.034601194491032</c:v>
                </c:pt>
                <c:pt idx="188">
                  <c:v>80.034601194491032</c:v>
                </c:pt>
                <c:pt idx="189">
                  <c:v>80.034601194491032</c:v>
                </c:pt>
                <c:pt idx="190">
                  <c:v>80.034601194491032</c:v>
                </c:pt>
                <c:pt idx="191">
                  <c:v>80.034601194491032</c:v>
                </c:pt>
                <c:pt idx="192">
                  <c:v>80.034601194491032</c:v>
                </c:pt>
                <c:pt idx="193">
                  <c:v>80.034601194491032</c:v>
                </c:pt>
                <c:pt idx="194">
                  <c:v>80.034601194491032</c:v>
                </c:pt>
                <c:pt idx="195">
                  <c:v>80.034601194491032</c:v>
                </c:pt>
                <c:pt idx="196">
                  <c:v>80.034601194491032</c:v>
                </c:pt>
                <c:pt idx="197">
                  <c:v>80.034601194491032</c:v>
                </c:pt>
                <c:pt idx="198">
                  <c:v>80.034601194491032</c:v>
                </c:pt>
                <c:pt idx="199">
                  <c:v>80.034601194491032</c:v>
                </c:pt>
                <c:pt idx="200">
                  <c:v>80.034601194491032</c:v>
                </c:pt>
                <c:pt idx="201">
                  <c:v>80.034601194491032</c:v>
                </c:pt>
                <c:pt idx="202">
                  <c:v>80.034601194491032</c:v>
                </c:pt>
                <c:pt idx="203">
                  <c:v>80.034601194491032</c:v>
                </c:pt>
                <c:pt idx="204">
                  <c:v>80.034601194491032</c:v>
                </c:pt>
                <c:pt idx="205">
                  <c:v>80.034601194491032</c:v>
                </c:pt>
                <c:pt idx="206">
                  <c:v>80.034601194491032</c:v>
                </c:pt>
                <c:pt idx="207">
                  <c:v>80.034601194491032</c:v>
                </c:pt>
                <c:pt idx="208">
                  <c:v>80.034601194491032</c:v>
                </c:pt>
                <c:pt idx="209">
                  <c:v>80.034601194491032</c:v>
                </c:pt>
                <c:pt idx="210">
                  <c:v>80.034601194491032</c:v>
                </c:pt>
                <c:pt idx="211">
                  <c:v>80.034601194491032</c:v>
                </c:pt>
                <c:pt idx="212">
                  <c:v>80.034601194491032</c:v>
                </c:pt>
                <c:pt idx="213">
                  <c:v>80.034601194491032</c:v>
                </c:pt>
                <c:pt idx="214">
                  <c:v>80.034601194491032</c:v>
                </c:pt>
                <c:pt idx="215">
                  <c:v>80.034601194491032</c:v>
                </c:pt>
                <c:pt idx="216">
                  <c:v>80.034601194491032</c:v>
                </c:pt>
                <c:pt idx="217">
                  <c:v>80.034601194491032</c:v>
                </c:pt>
                <c:pt idx="218">
                  <c:v>80.034601194491032</c:v>
                </c:pt>
                <c:pt idx="219">
                  <c:v>80.034601194491032</c:v>
                </c:pt>
                <c:pt idx="220">
                  <c:v>80.034601194491032</c:v>
                </c:pt>
                <c:pt idx="221">
                  <c:v>80.034601194491032</c:v>
                </c:pt>
                <c:pt idx="222">
                  <c:v>80.034601194491032</c:v>
                </c:pt>
                <c:pt idx="223">
                  <c:v>80.034601194491032</c:v>
                </c:pt>
                <c:pt idx="224">
                  <c:v>80.034601194491032</c:v>
                </c:pt>
                <c:pt idx="225">
                  <c:v>80.034601194491032</c:v>
                </c:pt>
                <c:pt idx="226">
                  <c:v>80.034601194491032</c:v>
                </c:pt>
                <c:pt idx="227">
                  <c:v>80.034601194491032</c:v>
                </c:pt>
                <c:pt idx="228">
                  <c:v>80.034601194491032</c:v>
                </c:pt>
                <c:pt idx="229">
                  <c:v>80.034601194491032</c:v>
                </c:pt>
              </c:numCache>
            </c:numRef>
          </c:xVal>
          <c:yVal>
            <c:numRef>
              <c:f>Calculations!$W$6:$W$235</c:f>
              <c:numCache>
                <c:formatCode>General</c:formatCode>
                <c:ptCount val="2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v>Burst position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'Input data'!$N$10</c:f>
              <c:numCache>
                <c:formatCode>0.00</c:formatCode>
                <c:ptCount val="1"/>
                <c:pt idx="0">
                  <c:v>36.25021995687959</c:v>
                </c:pt>
              </c:numCache>
            </c:numRef>
          </c:xVal>
          <c:yVal>
            <c:numRef>
              <c:f>'Input data'!$N$11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Burst Diameter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Calculations'!$E$5:$E$25</c:f>
              <c:numCache>
                <c:formatCode>0.00</c:formatCode>
                <c:ptCount val="21"/>
                <c:pt idx="0">
                  <c:v>0</c:v>
                </c:pt>
                <c:pt idx="1">
                  <c:v>-21.794494717703369</c:v>
                </c:pt>
                <c:pt idx="2">
                  <c:v>-30</c:v>
                </c:pt>
                <c:pt idx="3">
                  <c:v>-35.707142142714247</c:v>
                </c:pt>
                <c:pt idx="4">
                  <c:v>-40</c:v>
                </c:pt>
                <c:pt idx="5">
                  <c:v>-43.301270189221931</c:v>
                </c:pt>
                <c:pt idx="6">
                  <c:v>-45.825756949558397</c:v>
                </c:pt>
                <c:pt idx="7">
                  <c:v>-47.696960070847283</c:v>
                </c:pt>
                <c:pt idx="8">
                  <c:v>-48.989794855663561</c:v>
                </c:pt>
                <c:pt idx="9">
                  <c:v>-49.749371855330999</c:v>
                </c:pt>
                <c:pt idx="10">
                  <c:v>-50</c:v>
                </c:pt>
                <c:pt idx="11">
                  <c:v>-49.749371855330999</c:v>
                </c:pt>
                <c:pt idx="12">
                  <c:v>-48.989794855663561</c:v>
                </c:pt>
                <c:pt idx="13">
                  <c:v>-47.696960070847283</c:v>
                </c:pt>
                <c:pt idx="14">
                  <c:v>-45.825756949558397</c:v>
                </c:pt>
                <c:pt idx="15">
                  <c:v>-43.301270189221931</c:v>
                </c:pt>
                <c:pt idx="16">
                  <c:v>-40</c:v>
                </c:pt>
                <c:pt idx="17">
                  <c:v>-35.707142142714247</c:v>
                </c:pt>
                <c:pt idx="18">
                  <c:v>-30</c:v>
                </c:pt>
                <c:pt idx="19">
                  <c:v>-21.794494717703369</c:v>
                </c:pt>
                <c:pt idx="20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Calculations'!$F$5:$F$25</c:f>
              <c:numCache>
                <c:formatCode>0.00</c:formatCode>
                <c:ptCount val="21"/>
                <c:pt idx="0">
                  <c:v>0</c:v>
                </c:pt>
                <c:pt idx="1">
                  <c:v>21.794494717703369</c:v>
                </c:pt>
                <c:pt idx="2">
                  <c:v>30</c:v>
                </c:pt>
                <c:pt idx="3">
                  <c:v>35.707142142714247</c:v>
                </c:pt>
                <c:pt idx="4">
                  <c:v>40</c:v>
                </c:pt>
                <c:pt idx="5">
                  <c:v>43.301270189221931</c:v>
                </c:pt>
                <c:pt idx="6">
                  <c:v>45.825756949558397</c:v>
                </c:pt>
                <c:pt idx="7">
                  <c:v>47.696960070847283</c:v>
                </c:pt>
                <c:pt idx="8">
                  <c:v>48.989794855663561</c:v>
                </c:pt>
                <c:pt idx="9">
                  <c:v>49.749371855330999</c:v>
                </c:pt>
                <c:pt idx="10">
                  <c:v>50</c:v>
                </c:pt>
                <c:pt idx="11">
                  <c:v>49.749371855330999</c:v>
                </c:pt>
                <c:pt idx="12">
                  <c:v>48.989794855663561</c:v>
                </c:pt>
                <c:pt idx="13">
                  <c:v>47.696960070847283</c:v>
                </c:pt>
                <c:pt idx="14">
                  <c:v>45.825756949558397</c:v>
                </c:pt>
                <c:pt idx="15">
                  <c:v>43.301270189221931</c:v>
                </c:pt>
                <c:pt idx="16">
                  <c:v>40</c:v>
                </c:pt>
                <c:pt idx="17">
                  <c:v>35.707142142714247</c:v>
                </c:pt>
                <c:pt idx="18">
                  <c:v>30</c:v>
                </c:pt>
                <c:pt idx="19">
                  <c:v>21.794494717703369</c:v>
                </c:pt>
                <c:pt idx="2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Normal Debris Fallout</c:v>
          </c:tx>
          <c:spPr>
            <a:ln w="38100">
              <a:solidFill>
                <a:srgbClr val="FF0000"/>
              </a:solidFill>
              <a:prstDash val="dash"/>
              <a:tailEnd type="stealth" w="lg" len="lg"/>
            </a:ln>
          </c:spPr>
          <c:marker>
            <c:symbol val="none"/>
          </c:marker>
          <c:xVal>
            <c:numRef>
              <c:f>Fallout!$E$3:$E$13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44.192365714650634</c:v>
                </c:pt>
                <c:pt idx="2">
                  <c:v>52.134511472421678</c:v>
                </c:pt>
                <c:pt idx="3">
                  <c:v>60.076657230192723</c:v>
                </c:pt>
                <c:pt idx="4">
                  <c:v>68.018802987963767</c:v>
                </c:pt>
                <c:pt idx="5">
                  <c:v>75.960948745734811</c:v>
                </c:pt>
                <c:pt idx="6">
                  <c:v>83.903094503505855</c:v>
                </c:pt>
                <c:pt idx="7">
                  <c:v>91.845240261276885</c:v>
                </c:pt>
                <c:pt idx="8">
                  <c:v>99.787386019047943</c:v>
                </c:pt>
                <c:pt idx="9">
                  <c:v>107.72953177681897</c:v>
                </c:pt>
                <c:pt idx="10">
                  <c:v>115.67167753459002</c:v>
                </c:pt>
              </c:numCache>
            </c:numRef>
          </c:xVal>
          <c:yVal>
            <c:numRef>
              <c:f>Fallout!$F$3:$F$13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Long Burn Stars</c:v>
          </c:tx>
          <c:spPr>
            <a:ln w="38100">
              <a:solidFill>
                <a:schemeClr val="accent6">
                  <a:lumMod val="75000"/>
                </a:schemeClr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Fallout!$L$3:$L$13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52.134511472421678</c:v>
                </c:pt>
                <c:pt idx="2">
                  <c:v>68.018802987963767</c:v>
                </c:pt>
                <c:pt idx="3">
                  <c:v>83.903094503505855</c:v>
                </c:pt>
                <c:pt idx="4">
                  <c:v>99.787386019047943</c:v>
                </c:pt>
                <c:pt idx="5">
                  <c:v>115.67167753459002</c:v>
                </c:pt>
                <c:pt idx="6">
                  <c:v>131.55596905013209</c:v>
                </c:pt>
                <c:pt idx="7">
                  <c:v>147.44026056567418</c:v>
                </c:pt>
                <c:pt idx="8">
                  <c:v>163.32455208121627</c:v>
                </c:pt>
                <c:pt idx="9">
                  <c:v>179.20884359675836</c:v>
                </c:pt>
                <c:pt idx="10">
                  <c:v>195.09313511230044</c:v>
                </c:pt>
              </c:numCache>
            </c:numRef>
          </c:xVal>
          <c:yVal>
            <c:numRef>
              <c:f>Fallout!$M$3:$M$13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6288"/>
        <c:axId val="74238208"/>
      </c:scatterChart>
      <c:valAx>
        <c:axId val="7423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 rtl="0">
                  <a:def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rPr>
                  <a:t>Downrange Carry (x ) [metres]</a:t>
                </a:r>
              </a:p>
            </c:rich>
          </c:tx>
          <c:layout>
            <c:manualLayout>
              <c:xMode val="edge"/>
              <c:yMode val="edge"/>
              <c:x val="4.4593566273982206E-2"/>
              <c:y val="0.753494030267044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238208"/>
        <c:crosses val="autoZero"/>
        <c:crossBetween val="midCat"/>
        <c:majorUnit val="20"/>
        <c:minorUnit val="10"/>
      </c:valAx>
      <c:valAx>
        <c:axId val="742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baseline="0">
                    <a:solidFill>
                      <a:schemeClr val="tx2"/>
                    </a:solidFill>
                  </a:rPr>
                  <a:t> Crosswind Carry (y)  </a:t>
                </a:r>
                <a:r>
                  <a:rPr lang="en-GB" sz="1050" b="0" i="1">
                    <a:solidFill>
                      <a:schemeClr val="tx2"/>
                    </a:solidFill>
                  </a:rPr>
                  <a:t>[metres]</a:t>
                </a:r>
              </a:p>
            </c:rich>
          </c:tx>
          <c:layout>
            <c:manualLayout>
              <c:xMode val="edge"/>
              <c:yMode val="edge"/>
              <c:x val="0.94678775504532642"/>
              <c:y val="0.148895974258124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236288"/>
        <c:crosses val="autoZero"/>
        <c:crossBetween val="midCat"/>
        <c:majorUnit val="20"/>
        <c:minorUnit val="10"/>
      </c:valAx>
      <c:spPr>
        <a:solidFill>
          <a:schemeClr val="accent4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4"/>
        <c:delete val="1"/>
      </c:legendEntry>
      <c:legendEntry>
        <c:idx val="5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ayout>
        <c:manualLayout>
          <c:xMode val="edge"/>
          <c:yMode val="edge"/>
          <c:x val="9.9271164787704369E-2"/>
          <c:y val="0.81026438569206838"/>
          <c:w val="0.77485506257259129"/>
          <c:h val="0.15967082467623589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GB" sz="1400" b="1" i="0" u="none" strike="noStrike" baseline="0">
                <a:solidFill>
                  <a:schemeClr val="accent1">
                    <a:lumMod val="75000"/>
                  </a:schemeClr>
                </a:solidFill>
                <a:latin typeface="Tahoma"/>
                <a:ea typeface="Tahoma"/>
                <a:cs typeface="Tahoma"/>
              </a:rPr>
              <a:t>Predicted Trajectory [x/z plot]</a:t>
            </a:r>
            <a:endParaRPr lang="en-GB" sz="1600" b="1" i="0" u="none" strike="noStrike" baseline="0">
              <a:solidFill>
                <a:schemeClr val="accent1">
                  <a:lumMod val="75000"/>
                </a:schemeClr>
              </a:solidFill>
              <a:latin typeface="Tahoma"/>
              <a:ea typeface="Tahoma"/>
              <a:cs typeface="Tahoma"/>
            </a:endParaRPr>
          </a:p>
        </c:rich>
      </c:tx>
      <c:layout>
        <c:manualLayout>
          <c:xMode val="edge"/>
          <c:yMode val="edge"/>
          <c:x val="5.5858850988394632E-2"/>
          <c:y val="3.73015825799547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396126178316931E-2"/>
          <c:y val="0.12811983562461637"/>
          <c:w val="0.88122880062937337"/>
          <c:h val="0.71293852167172056"/>
        </c:manualLayout>
      </c:layout>
      <c:scatterChart>
        <c:scatterStyle val="smoothMarker"/>
        <c:varyColors val="0"/>
        <c:ser>
          <c:idx val="0"/>
          <c:order val="0"/>
          <c:tx>
            <c:v>Trajectory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Calculations!$V$6:$V$235</c:f>
              <c:numCache>
                <c:formatCode>General</c:formatCode>
                <c:ptCount val="230"/>
                <c:pt idx="1">
                  <c:v>0.83430085021526412</c:v>
                </c:pt>
                <c:pt idx="2">
                  <c:v>1.6440370284333325</c:v>
                </c:pt>
                <c:pt idx="3">
                  <c:v>2.4343162198293022</c:v>
                </c:pt>
                <c:pt idx="4">
                  <c:v>3.2085776583110484</c:v>
                </c:pt>
                <c:pt idx="5">
                  <c:v>3.9693662930330555</c:v>
                </c:pt>
                <c:pt idx="6">
                  <c:v>4.7186518907565702</c:v>
                </c:pt>
                <c:pt idx="7">
                  <c:v>5.4580027106806881</c:v>
                </c:pt>
                <c:pt idx="8">
                  <c:v>6.1886929997367002</c:v>
                </c:pt>
                <c:pt idx="9">
                  <c:v>6.9117746203368799</c:v>
                </c:pt>
                <c:pt idx="10">
                  <c:v>7.6281271406179183</c:v>
                </c:pt>
                <c:pt idx="11">
                  <c:v>8.3384940974229593</c:v>
                </c:pt>
                <c:pt idx="12">
                  <c:v>9.043509952910691</c:v>
                </c:pt>
                <c:pt idx="13">
                  <c:v>9.7437205619296741</c:v>
                </c:pt>
                <c:pt idx="14">
                  <c:v>10.439598987056222</c:v>
                </c:pt>
                <c:pt idx="15">
                  <c:v>11.131557901992462</c:v>
                </c:pt>
                <c:pt idx="16">
                  <c:v>11.819959445418144</c:v>
                </c:pt>
                <c:pt idx="17">
                  <c:v>12.505123138525333</c:v>
                </c:pt>
                <c:pt idx="18">
                  <c:v>13.187332311177888</c:v>
                </c:pt>
                <c:pt idx="19">
                  <c:v>13.86683936509748</c:v>
                </c:pt>
                <c:pt idx="20">
                  <c:v>14.543870120113343</c:v>
                </c:pt>
                <c:pt idx="21">
                  <c:v>15.218627430263341</c:v>
                </c:pt>
                <c:pt idx="22">
                  <c:v>15.891294213243674</c:v>
                </c:pt>
                <c:pt idx="23">
                  <c:v>16.562036004633821</c:v>
                </c:pt>
                <c:pt idx="24">
                  <c:v>17.231003124267001</c:v>
                </c:pt>
                <c:pt idx="25">
                  <c:v>17.89833252386741</c:v>
                </c:pt>
                <c:pt idx="26">
                  <c:v>18.56414937108929</c:v>
                </c:pt>
                <c:pt idx="27">
                  <c:v>19.22856841427231</c:v>
                </c:pt>
                <c:pt idx="28">
                  <c:v>19.891695163783638</c:v>
                </c:pt>
                <c:pt idx="29">
                  <c:v>20.55362691917454</c:v>
                </c:pt>
                <c:pt idx="30">
                  <c:v>21.21445366611491</c:v>
                </c:pt>
                <c:pt idx="31">
                  <c:v>21.87425886286799</c:v>
                </c:pt>
                <c:pt idx="32">
                  <c:v>22.533120132693014</c:v>
                </c:pt>
                <c:pt idx="33">
                  <c:v>23.191109875836386</c:v>
                </c:pt>
                <c:pt idx="34">
                  <c:v>23.848295812555328</c:v>
                </c:pt>
                <c:pt idx="35">
                  <c:v>24.50474146680595</c:v>
                </c:pt>
                <c:pt idx="36">
                  <c:v>25.160506598738376</c:v>
                </c:pt>
                <c:pt idx="37">
                  <c:v>25.81564759291037</c:v>
                </c:pt>
                <c:pt idx="38">
                  <c:v>26.470217808106241</c:v>
                </c:pt>
                <c:pt idx="39">
                  <c:v>27.124267893787867</c:v>
                </c:pt>
                <c:pt idx="40">
                  <c:v>27.777846077473527</c:v>
                </c:pt>
                <c:pt idx="41">
                  <c:v>28.430998426704864</c:v>
                </c:pt>
                <c:pt idx="42">
                  <c:v>29.083769088687369</c:v>
                </c:pt>
                <c:pt idx="43">
                  <c:v>29.736200510128661</c:v>
                </c:pt>
                <c:pt idx="44">
                  <c:v>30.388333639174366</c:v>
                </c:pt>
                <c:pt idx="45">
                  <c:v>31.040208110497453</c:v>
                </c:pt>
                <c:pt idx="46">
                  <c:v>31.691862413166792</c:v>
                </c:pt>
                <c:pt idx="47">
                  <c:v>32.343334037912392</c:v>
                </c:pt>
                <c:pt idx="48">
                  <c:v>32.994659592704046</c:v>
                </c:pt>
                <c:pt idx="49">
                  <c:v>33.645874851301286</c:v>
                </c:pt>
                <c:pt idx="50">
                  <c:v>34.297014599113979</c:v>
                </c:pt>
                <c:pt idx="51">
                  <c:v>34.948111503479211</c:v>
                </c:pt>
                <c:pt idx="52">
                  <c:v>35.599186096513421</c:v>
                </c:pt>
                <c:pt idx="53">
                  <c:v>36.25021995687959</c:v>
                </c:pt>
                <c:pt idx="54">
                  <c:v>36.901180931337379</c:v>
                </c:pt>
                <c:pt idx="55">
                  <c:v>37.552034934952395</c:v>
                </c:pt>
                <c:pt idx="56">
                  <c:v>38.202747448126772</c:v>
                </c:pt>
                <c:pt idx="57">
                  <c:v>38.85328390569304</c:v>
                </c:pt>
                <c:pt idx="58">
                  <c:v>39.503609868477994</c:v>
                </c:pt>
                <c:pt idx="59">
                  <c:v>40.153691128574877</c:v>
                </c:pt>
                <c:pt idx="60">
                  <c:v>40.803493787790906</c:v>
                </c:pt>
                <c:pt idx="61">
                  <c:v>41.452984322466008</c:v>
                </c:pt>
                <c:pt idx="62">
                  <c:v>42.102129639797944</c:v>
                </c:pt>
                <c:pt idx="63">
                  <c:v>42.750897127859794</c:v>
                </c:pt>
                <c:pt idx="64">
                  <c:v>43.399254700278668</c:v>
                </c:pt>
                <c:pt idx="65">
                  <c:v>44.047170836000298</c:v>
                </c:pt>
                <c:pt idx="66">
                  <c:v>44.694614614310808</c:v>
                </c:pt>
                <c:pt idx="67">
                  <c:v>45.341555745169835</c:v>
                </c:pt>
                <c:pt idx="68">
                  <c:v>45.987964594859974</c:v>
                </c:pt>
                <c:pt idx="69">
                  <c:v>46.633812206943958</c:v>
                </c:pt>
                <c:pt idx="70">
                  <c:v>47.279070318525882</c:v>
                </c:pt>
                <c:pt idx="71">
                  <c:v>47.923711371828041</c:v>
                </c:pt>
                <c:pt idx="72">
                  <c:v>48.567708521114284</c:v>
                </c:pt>
                <c:pt idx="73">
                  <c:v>49.211035635012117</c:v>
                </c:pt>
                <c:pt idx="74">
                  <c:v>49.853667294306391</c:v>
                </c:pt>
                <c:pt idx="75">
                  <c:v>50.495578785296367</c:v>
                </c:pt>
                <c:pt idx="76">
                  <c:v>51.13674608882426</c:v>
                </c:pt>
                <c:pt idx="77">
                  <c:v>51.7771458650965</c:v>
                </c:pt>
                <c:pt idx="78">
                  <c:v>52.416755434428303</c:v>
                </c:pt>
                <c:pt idx="79">
                  <c:v>53.05555275404771</c:v>
                </c:pt>
                <c:pt idx="80">
                  <c:v>53.693516391096644</c:v>
                </c:pt>
                <c:pt idx="81">
                  <c:v>54.330625491963566</c:v>
                </c:pt>
                <c:pt idx="82">
                  <c:v>54.966859748075173</c:v>
                </c:pt>
                <c:pt idx="83">
                  <c:v>55.602199358262681</c:v>
                </c:pt>
                <c:pt idx="84">
                  <c:v>56.236624987802145</c:v>
                </c:pt>
                <c:pt idx="85">
                  <c:v>56.870117724207105</c:v>
                </c:pt>
                <c:pt idx="86">
                  <c:v>57.50265902982612</c:v>
                </c:pt>
                <c:pt idx="87">
                  <c:v>58.134230691266559</c:v>
                </c:pt>
                <c:pt idx="88">
                  <c:v>58.764814765629566</c:v>
                </c:pt>
                <c:pt idx="89">
                  <c:v>59.394393523498302</c:v>
                </c:pt>
                <c:pt idx="90">
                  <c:v>60.022949388572165</c:v>
                </c:pt>
                <c:pt idx="91">
                  <c:v>60.65046487378234</c:v>
                </c:pt>
                <c:pt idx="92">
                  <c:v>61.27692251365761</c:v>
                </c:pt>
                <c:pt idx="93">
                  <c:v>61.902304792632179</c:v>
                </c:pt>
                <c:pt idx="94">
                  <c:v>62.526594068897104</c:v>
                </c:pt>
                <c:pt idx="95">
                  <c:v>63.149772493290712</c:v>
                </c:pt>
                <c:pt idx="96">
                  <c:v>63.771821922597681</c:v>
                </c:pt>
                <c:pt idx="97">
                  <c:v>64.392723826476001</c:v>
                </c:pt>
                <c:pt idx="98">
                  <c:v>65.012459187049444</c:v>
                </c:pt>
                <c:pt idx="99">
                  <c:v>65.631008389982128</c:v>
                </c:pt>
                <c:pt idx="100">
                  <c:v>66.248351105579275</c:v>
                </c:pt>
                <c:pt idx="101">
                  <c:v>66.864466158119569</c:v>
                </c:pt>
                <c:pt idx="102">
                  <c:v>67.479331381198691</c:v>
                </c:pt>
                <c:pt idx="103">
                  <c:v>68.092923456321657</c:v>
                </c:pt>
                <c:pt idx="104">
                  <c:v>68.705217731284648</c:v>
                </c:pt>
                <c:pt idx="105">
                  <c:v>69.316188013978532</c:v>
                </c:pt>
                <c:pt idx="106">
                  <c:v>69.925806336047046</c:v>
                </c:pt>
                <c:pt idx="107">
                  <c:v>70.534042679226246</c:v>
                </c:pt>
                <c:pt idx="108">
                  <c:v>71.140864655007135</c:v>
                </c:pt>
                <c:pt idx="109">
                  <c:v>71.74623712524054</c:v>
                </c:pt>
                <c:pt idx="110">
                  <c:v>72.350121747042991</c:v>
                </c:pt>
                <c:pt idx="111">
                  <c:v>72.952476419228816</c:v>
                </c:pt>
                <c:pt idx="112">
                  <c:v>73.553254598454885</c:v>
                </c:pt>
                <c:pt idx="113">
                  <c:v>74.152404439579499</c:v>
                </c:pt>
                <c:pt idx="114">
                  <c:v>74.749867693369424</c:v>
                </c:pt>
                <c:pt idx="115">
                  <c:v>75.345578260101732</c:v>
                </c:pt>
                <c:pt idx="116">
                  <c:v>75.939460239192741</c:v>
                </c:pt>
                <c:pt idx="117">
                  <c:v>76.53142521116213</c:v>
                </c:pt>
                <c:pt idx="118">
                  <c:v>77.121368291792621</c:v>
                </c:pt>
                <c:pt idx="119">
                  <c:v>77.709162096189715</c:v>
                </c:pt>
                <c:pt idx="120">
                  <c:v>78.294646838252078</c:v>
                </c:pt>
                <c:pt idx="121">
                  <c:v>78.877612410359504</c:v>
                </c:pt>
                <c:pt idx="122">
                  <c:v>79.457760647200004</c:v>
                </c:pt>
                <c:pt idx="123">
                  <c:v>80.034601194491032</c:v>
                </c:pt>
                <c:pt idx="124">
                  <c:v>80.034601194491032</c:v>
                </c:pt>
                <c:pt idx="125">
                  <c:v>80.034601194491032</c:v>
                </c:pt>
                <c:pt idx="126">
                  <c:v>80.034601194491032</c:v>
                </c:pt>
                <c:pt idx="127">
                  <c:v>80.034601194491032</c:v>
                </c:pt>
                <c:pt idx="128">
                  <c:v>80.034601194491032</c:v>
                </c:pt>
                <c:pt idx="129">
                  <c:v>80.034601194491032</c:v>
                </c:pt>
                <c:pt idx="130">
                  <c:v>80.034601194491032</c:v>
                </c:pt>
                <c:pt idx="131">
                  <c:v>80.034601194491032</c:v>
                </c:pt>
                <c:pt idx="132">
                  <c:v>80.034601194491032</c:v>
                </c:pt>
                <c:pt idx="133">
                  <c:v>80.034601194491032</c:v>
                </c:pt>
                <c:pt idx="134">
                  <c:v>80.034601194491032</c:v>
                </c:pt>
                <c:pt idx="135">
                  <c:v>80.034601194491032</c:v>
                </c:pt>
                <c:pt idx="136">
                  <c:v>80.034601194491032</c:v>
                </c:pt>
                <c:pt idx="137">
                  <c:v>80.034601194491032</c:v>
                </c:pt>
                <c:pt idx="138">
                  <c:v>80.034601194491032</c:v>
                </c:pt>
                <c:pt idx="139">
                  <c:v>80.034601194491032</c:v>
                </c:pt>
                <c:pt idx="140">
                  <c:v>80.034601194491032</c:v>
                </c:pt>
                <c:pt idx="141">
                  <c:v>80.034601194491032</c:v>
                </c:pt>
                <c:pt idx="142">
                  <c:v>80.034601194491032</c:v>
                </c:pt>
                <c:pt idx="143">
                  <c:v>80.034601194491032</c:v>
                </c:pt>
                <c:pt idx="144">
                  <c:v>80.034601194491032</c:v>
                </c:pt>
                <c:pt idx="145">
                  <c:v>80.034601194491032</c:v>
                </c:pt>
                <c:pt idx="146">
                  <c:v>80.034601194491032</c:v>
                </c:pt>
                <c:pt idx="147">
                  <c:v>80.034601194491032</c:v>
                </c:pt>
                <c:pt idx="148">
                  <c:v>80.034601194491032</c:v>
                </c:pt>
                <c:pt idx="149">
                  <c:v>80.034601194491032</c:v>
                </c:pt>
                <c:pt idx="150">
                  <c:v>80.034601194491032</c:v>
                </c:pt>
                <c:pt idx="151">
                  <c:v>80.034601194491032</c:v>
                </c:pt>
                <c:pt idx="152">
                  <c:v>80.034601194491032</c:v>
                </c:pt>
                <c:pt idx="153">
                  <c:v>80.034601194491032</c:v>
                </c:pt>
                <c:pt idx="154">
                  <c:v>80.034601194491032</c:v>
                </c:pt>
                <c:pt idx="155">
                  <c:v>80.034601194491032</c:v>
                </c:pt>
                <c:pt idx="156">
                  <c:v>80.034601194491032</c:v>
                </c:pt>
                <c:pt idx="157">
                  <c:v>80.034601194491032</c:v>
                </c:pt>
                <c:pt idx="158">
                  <c:v>80.034601194491032</c:v>
                </c:pt>
                <c:pt idx="159">
                  <c:v>80.034601194491032</c:v>
                </c:pt>
                <c:pt idx="160">
                  <c:v>80.034601194491032</c:v>
                </c:pt>
                <c:pt idx="161">
                  <c:v>80.034601194491032</c:v>
                </c:pt>
                <c:pt idx="162">
                  <c:v>80.034601194491032</c:v>
                </c:pt>
                <c:pt idx="163">
                  <c:v>80.034601194491032</c:v>
                </c:pt>
                <c:pt idx="164">
                  <c:v>80.034601194491032</c:v>
                </c:pt>
                <c:pt idx="165">
                  <c:v>80.034601194491032</c:v>
                </c:pt>
                <c:pt idx="166">
                  <c:v>80.034601194491032</c:v>
                </c:pt>
                <c:pt idx="167">
                  <c:v>80.034601194491032</c:v>
                </c:pt>
                <c:pt idx="168">
                  <c:v>80.034601194491032</c:v>
                </c:pt>
                <c:pt idx="169">
                  <c:v>80.034601194491032</c:v>
                </c:pt>
                <c:pt idx="170">
                  <c:v>80.034601194491032</c:v>
                </c:pt>
                <c:pt idx="171">
                  <c:v>80.034601194491032</c:v>
                </c:pt>
                <c:pt idx="172">
                  <c:v>80.034601194491032</c:v>
                </c:pt>
                <c:pt idx="173">
                  <c:v>80.034601194491032</c:v>
                </c:pt>
                <c:pt idx="174">
                  <c:v>80.034601194491032</c:v>
                </c:pt>
                <c:pt idx="175">
                  <c:v>80.034601194491032</c:v>
                </c:pt>
                <c:pt idx="176">
                  <c:v>80.034601194491032</c:v>
                </c:pt>
                <c:pt idx="177">
                  <c:v>80.034601194491032</c:v>
                </c:pt>
                <c:pt idx="178">
                  <c:v>80.034601194491032</c:v>
                </c:pt>
                <c:pt idx="179">
                  <c:v>80.034601194491032</c:v>
                </c:pt>
                <c:pt idx="180">
                  <c:v>80.034601194491032</c:v>
                </c:pt>
                <c:pt idx="181">
                  <c:v>80.034601194491032</c:v>
                </c:pt>
                <c:pt idx="182">
                  <c:v>80.034601194491032</c:v>
                </c:pt>
                <c:pt idx="183">
                  <c:v>80.034601194491032</c:v>
                </c:pt>
                <c:pt idx="184">
                  <c:v>80.034601194491032</c:v>
                </c:pt>
                <c:pt idx="185">
                  <c:v>80.034601194491032</c:v>
                </c:pt>
                <c:pt idx="186">
                  <c:v>80.034601194491032</c:v>
                </c:pt>
                <c:pt idx="187">
                  <c:v>80.034601194491032</c:v>
                </c:pt>
                <c:pt idx="188">
                  <c:v>80.034601194491032</c:v>
                </c:pt>
                <c:pt idx="189">
                  <c:v>80.034601194491032</c:v>
                </c:pt>
                <c:pt idx="190">
                  <c:v>80.034601194491032</c:v>
                </c:pt>
                <c:pt idx="191">
                  <c:v>80.034601194491032</c:v>
                </c:pt>
                <c:pt idx="192">
                  <c:v>80.034601194491032</c:v>
                </c:pt>
                <c:pt idx="193">
                  <c:v>80.034601194491032</c:v>
                </c:pt>
                <c:pt idx="194">
                  <c:v>80.034601194491032</c:v>
                </c:pt>
                <c:pt idx="195">
                  <c:v>80.034601194491032</c:v>
                </c:pt>
                <c:pt idx="196">
                  <c:v>80.034601194491032</c:v>
                </c:pt>
                <c:pt idx="197">
                  <c:v>80.034601194491032</c:v>
                </c:pt>
                <c:pt idx="198">
                  <c:v>80.034601194491032</c:v>
                </c:pt>
                <c:pt idx="199">
                  <c:v>80.034601194491032</c:v>
                </c:pt>
                <c:pt idx="200">
                  <c:v>80.034601194491032</c:v>
                </c:pt>
                <c:pt idx="201">
                  <c:v>80.034601194491032</c:v>
                </c:pt>
                <c:pt idx="202">
                  <c:v>80.034601194491032</c:v>
                </c:pt>
                <c:pt idx="203">
                  <c:v>80.034601194491032</c:v>
                </c:pt>
                <c:pt idx="204">
                  <c:v>80.034601194491032</c:v>
                </c:pt>
                <c:pt idx="205">
                  <c:v>80.034601194491032</c:v>
                </c:pt>
                <c:pt idx="206">
                  <c:v>80.034601194491032</c:v>
                </c:pt>
                <c:pt idx="207">
                  <c:v>80.034601194491032</c:v>
                </c:pt>
                <c:pt idx="208">
                  <c:v>80.034601194491032</c:v>
                </c:pt>
                <c:pt idx="209">
                  <c:v>80.034601194491032</c:v>
                </c:pt>
                <c:pt idx="210">
                  <c:v>80.034601194491032</c:v>
                </c:pt>
                <c:pt idx="211">
                  <c:v>80.034601194491032</c:v>
                </c:pt>
                <c:pt idx="212">
                  <c:v>80.034601194491032</c:v>
                </c:pt>
                <c:pt idx="213">
                  <c:v>80.034601194491032</c:v>
                </c:pt>
                <c:pt idx="214">
                  <c:v>80.034601194491032</c:v>
                </c:pt>
                <c:pt idx="215">
                  <c:v>80.034601194491032</c:v>
                </c:pt>
                <c:pt idx="216">
                  <c:v>80.034601194491032</c:v>
                </c:pt>
                <c:pt idx="217">
                  <c:v>80.034601194491032</c:v>
                </c:pt>
                <c:pt idx="218">
                  <c:v>80.034601194491032</c:v>
                </c:pt>
                <c:pt idx="219">
                  <c:v>80.034601194491032</c:v>
                </c:pt>
                <c:pt idx="220">
                  <c:v>80.034601194491032</c:v>
                </c:pt>
                <c:pt idx="221">
                  <c:v>80.034601194491032</c:v>
                </c:pt>
                <c:pt idx="222">
                  <c:v>80.034601194491032</c:v>
                </c:pt>
                <c:pt idx="223">
                  <c:v>80.034601194491032</c:v>
                </c:pt>
                <c:pt idx="224">
                  <c:v>80.034601194491032</c:v>
                </c:pt>
                <c:pt idx="225">
                  <c:v>80.034601194491032</c:v>
                </c:pt>
                <c:pt idx="226">
                  <c:v>80.034601194491032</c:v>
                </c:pt>
                <c:pt idx="227">
                  <c:v>80.034601194491032</c:v>
                </c:pt>
                <c:pt idx="228">
                  <c:v>80.034601194491032</c:v>
                </c:pt>
                <c:pt idx="229">
                  <c:v>80.034601194491032</c:v>
                </c:pt>
              </c:numCache>
            </c:numRef>
          </c:xVal>
          <c:yVal>
            <c:numRef>
              <c:f>Calculations!$X$6:$X$235</c:f>
              <c:numCache>
                <c:formatCode>General</c:formatCode>
                <c:ptCount val="230"/>
                <c:pt idx="1">
                  <c:v>11.447504465961586</c:v>
                </c:pt>
                <c:pt idx="2">
                  <c:v>22.019429147712142</c:v>
                </c:pt>
                <c:pt idx="3">
                  <c:v>31.8309573899447</c:v>
                </c:pt>
                <c:pt idx="4">
                  <c:v>40.974559096479354</c:v>
                </c:pt>
                <c:pt idx="5">
                  <c:v>49.525676226287921</c:v>
                </c:pt>
                <c:pt idx="6">
                  <c:v>57.546710132293164</c:v>
                </c:pt>
                <c:pt idx="7">
                  <c:v>65.089893309836157</c:v>
                </c:pt>
                <c:pt idx="8">
                  <c:v>72.199403637192972</c:v>
                </c:pt>
                <c:pt idx="9">
                  <c:v>78.912950718721476</c:v>
                </c:pt>
                <c:pt idx="10">
                  <c:v>85.262986092898018</c:v>
                </c:pt>
                <c:pt idx="11">
                  <c:v>91.277640186958749</c:v>
                </c:pt>
                <c:pt idx="12">
                  <c:v>96.981457316718206</c:v>
                </c:pt>
                <c:pt idx="13">
                  <c:v>102.39597911490013</c:v>
                </c:pt>
                <c:pt idx="14">
                  <c:v>107.54021261699444</c:v>
                </c:pt>
                <c:pt idx="15">
                  <c:v>112.43100946748513</c:v>
                </c:pt>
                <c:pt idx="16">
                  <c:v>117.08337585233016</c:v>
                </c:pt>
                <c:pt idx="17">
                  <c:v>121.51072787250568</c:v>
                </c:pt>
                <c:pt idx="18">
                  <c:v>125.72510353400708</c:v>
                </c:pt>
                <c:pt idx="19">
                  <c:v>129.73733993438961</c:v>
                </c:pt>
                <c:pt idx="20">
                  <c:v>133.55722229967381</c:v>
                </c:pt>
                <c:pt idx="21">
                  <c:v>137.19361007966376</c:v>
                </c:pt>
                <c:pt idx="22">
                  <c:v>140.65454421327019</c:v>
                </c:pt>
                <c:pt idx="23">
                  <c:v>143.94733883584763</c:v>
                </c:pt>
                <c:pt idx="24">
                  <c:v>147.07866005186844</c:v>
                </c:pt>
                <c:pt idx="25">
                  <c:v>150.05459389084416</c:v>
                </c:pt>
                <c:pt idx="26">
                  <c:v>152.8807051675152</c:v>
                </c:pt>
                <c:pt idx="27">
                  <c:v>155.5620886533527</c:v>
                </c:pt>
                <c:pt idx="28">
                  <c:v>158.10341371630059</c:v>
                </c:pt>
                <c:pt idx="29">
                  <c:v>160.50896338512931</c:v>
                </c:pt>
                <c:pt idx="30">
                  <c:v>162.78266863295494</c:v>
                </c:pt>
                <c:pt idx="31">
                  <c:v>164.92813854314414</c:v>
                </c:pt>
                <c:pt idx="32">
                  <c:v>166.94868691363172</c:v>
                </c:pt>
                <c:pt idx="33">
                  <c:v>168.84735576771777</c:v>
                </c:pt>
                <c:pt idx="34">
                  <c:v>170.62693616686016</c:v>
                </c:pt>
                <c:pt idx="35">
                  <c:v>172.28998666083723</c:v>
                </c:pt>
                <c:pt idx="36">
                  <c:v>173.83884966056382</c:v>
                </c:pt>
                <c:pt idx="37">
                  <c:v>175.27566597692072</c:v>
                </c:pt>
                <c:pt idx="38">
                  <c:v>176.60238773371151</c:v>
                </c:pt>
                <c:pt idx="39">
                  <c:v>177.82078983308858</c:v>
                </c:pt>
                <c:pt idx="40">
                  <c:v>178.93248012652538</c:v>
                </c:pt>
                <c:pt idx="41">
                  <c:v>179.93890842287021</c:v>
                </c:pt>
                <c:pt idx="42">
                  <c:v>180.84137444656179</c:v>
                </c:pt>
                <c:pt idx="43">
                  <c:v>181.64103484319614</c:v>
                </c:pt>
                <c:pt idx="44">
                  <c:v>182.33890931588692</c:v>
                </c:pt>
                <c:pt idx="45">
                  <c:v>182.93588596391882</c:v>
                </c:pt>
                <c:pt idx="46">
                  <c:v>183.43272588481321</c:v>
                </c:pt>
                <c:pt idx="47">
                  <c:v>183.83006709203076</c:v>
                </c:pt>
                <c:pt idx="48">
                  <c:v>184.12842779354239</c:v>
                </c:pt>
                <c:pt idx="49">
                  <c:v>184.32820907411099</c:v>
                </c:pt>
                <c:pt idx="50">
                  <c:v>184.42969704462709</c:v>
                </c:pt>
                <c:pt idx="51">
                  <c:v>184.43306477421163</c:v>
                </c:pt>
                <c:pt idx="52">
                  <c:v>184.33838128912097</c:v>
                </c:pt>
                <c:pt idx="53">
                  <c:v>184.14571015115405</c:v>
                </c:pt>
                <c:pt idx="54">
                  <c:v>183.85521601552057</c:v>
                </c:pt>
                <c:pt idx="55">
                  <c:v>183.46717423255012</c:v>
                </c:pt>
                <c:pt idx="56">
                  <c:v>182.98197027116129</c:v>
                </c:pt>
                <c:pt idx="57">
                  <c:v>182.40009825102499</c:v>
                </c:pt>
                <c:pt idx="58">
                  <c:v>181.72215894691359</c:v>
                </c:pt>
                <c:pt idx="59">
                  <c:v>180.9488573216795</c:v>
                </c:pt>
                <c:pt idx="60">
                  <c:v>180.08099961739521</c:v>
                </c:pt>
                <c:pt idx="61">
                  <c:v>179.11949003241534</c:v>
                </c:pt>
                <c:pt idx="62">
                  <c:v>178.06532701415659</c:v>
                </c:pt>
                <c:pt idx="63">
                  <c:v>176.91959919996617</c:v>
                </c:pt>
                <c:pt idx="64">
                  <c:v>175.6834810408333</c:v>
                </c:pt>
                <c:pt idx="65">
                  <c:v>174.35822814467875</c:v>
                </c:pt>
                <c:pt idx="66">
                  <c:v>172.94517237745865</c:v>
                </c:pt>
                <c:pt idx="67">
                  <c:v>171.44571676131534</c:v>
                </c:pt>
                <c:pt idx="68">
                  <c:v>169.86133020949413</c:v>
                </c:pt>
                <c:pt idx="69">
                  <c:v>168.193542137733</c:v>
                </c:pt>
                <c:pt idx="70">
                  <c:v>166.44393699134429</c:v>
                </c:pt>
                <c:pt idx="71">
                  <c:v>164.61414872627282</c:v>
                </c:pt>
                <c:pt idx="72">
                  <c:v>162.70585528107392</c:v>
                </c:pt>
                <c:pt idx="73">
                  <c:v>160.72077307504807</c:v>
                </c:pt>
                <c:pt idx="74">
                  <c:v>158.66065156574669</c:v>
                </c:pt>
                <c:pt idx="75">
                  <c:v>156.52726789677425</c:v>
                </c:pt>
                <c:pt idx="76">
                  <c:v>154.32242166430819</c:v>
                </c:pt>
                <c:pt idx="77">
                  <c:v>152.04792982809178</c:v>
                </c:pt>
                <c:pt idx="78">
                  <c:v>149.70562178987544</c:v>
                </c:pt>
                <c:pt idx="79">
                  <c:v>147.29733465943977</c:v>
                </c:pt>
                <c:pt idx="80">
                  <c:v>144.82490872547183</c:v>
                </c:pt>
                <c:pt idx="81">
                  <c:v>142.29018314572878</c:v>
                </c:pt>
                <c:pt idx="82">
                  <c:v>139.69499186814639</c:v>
                </c:pt>
                <c:pt idx="83">
                  <c:v>137.04115979186707</c:v>
                </c:pt>
                <c:pt idx="84">
                  <c:v>134.33049917460249</c:v>
                </c:pt>
                <c:pt idx="85">
                  <c:v>131.56480629033081</c:v>
                </c:pt>
                <c:pt idx="86">
                  <c:v>128.74585833907895</c:v>
                </c:pt>
                <c:pt idx="87">
                  <c:v>125.87541060846776</c:v>
                </c:pt>
                <c:pt idx="88">
                  <c:v>122.95519388481415</c:v>
                </c:pt>
                <c:pt idx="89">
                  <c:v>119.98691210989273</c:v>
                </c:pt>
                <c:pt idx="90">
                  <c:v>116.97224027796358</c:v>
                </c:pt>
                <c:pt idx="91">
                  <c:v>113.91282256637007</c:v>
                </c:pt>
                <c:pt idx="92">
                  <c:v>110.81027069189736</c:v>
                </c:pt>
                <c:pt idx="93">
                  <c:v>107.66616248415149</c:v>
                </c:pt>
                <c:pt idx="94">
                  <c:v>104.48204066646232</c:v>
                </c:pt>
                <c:pt idx="95">
                  <c:v>101.25941183422101</c:v>
                </c:pt>
                <c:pt idx="96">
                  <c:v>97.999745620122454</c:v>
                </c:pt>
                <c:pt idx="97">
                  <c:v>94.704474035484211</c:v>
                </c:pt>
                <c:pt idx="98">
                  <c:v>91.374990976642096</c:v>
                </c:pt>
                <c:pt idx="99">
                  <c:v>88.01265188536749</c:v>
                </c:pt>
                <c:pt idx="100">
                  <c:v>84.618773552299132</c:v>
                </c:pt>
                <c:pt idx="101">
                  <c:v>81.194634052521195</c:v>
                </c:pt>
                <c:pt idx="102">
                  <c:v>77.741472802638057</c:v>
                </c:pt>
                <c:pt idx="103">
                  <c:v>74.260490728983555</c:v>
                </c:pt>
                <c:pt idx="104">
                  <c:v>70.752850536949069</c:v>
                </c:pt>
                <c:pt idx="105">
                  <c:v>67.219677071812214</c:v>
                </c:pt>
                <c:pt idx="106">
                  <c:v>63.662057761888306</c:v>
                </c:pt>
                <c:pt idx="107">
                  <c:v>60.081043135306601</c:v>
                </c:pt>
                <c:pt idx="108">
                  <c:v>56.477647402228534</c:v>
                </c:pt>
                <c:pt idx="109">
                  <c:v>52.852849094878245</c:v>
                </c:pt>
                <c:pt idx="110">
                  <c:v>49.207591758352571</c:v>
                </c:pt>
                <c:pt idx="111">
                  <c:v>45.542784685834306</c:v>
                </c:pt>
                <c:pt idx="112">
                  <c:v>41.859303692578941</c:v>
                </c:pt>
                <c:pt idx="113">
                  <c:v>38.157991923937544</c:v>
                </c:pt>
                <c:pt idx="114">
                  <c:v>34.4396606938218</c:v>
                </c:pt>
                <c:pt idx="115">
                  <c:v>30.705090351611403</c:v>
                </c:pt>
                <c:pt idx="116">
                  <c:v>26.95503117794815</c:v>
                </c:pt>
                <c:pt idx="117">
                  <c:v>23.190204313995487</c:v>
                </c:pt>
                <c:pt idx="118">
                  <c:v>19.411302736475896</c:v>
                </c:pt>
                <c:pt idx="119">
                  <c:v>15.618992306879328</c:v>
                </c:pt>
                <c:pt idx="120">
                  <c:v>11.813912960987542</c:v>
                </c:pt>
                <c:pt idx="121">
                  <c:v>7.996680208249364</c:v>
                </c:pt>
                <c:pt idx="122">
                  <c:v>4.1678874632889826</c:v>
                </c:pt>
                <c:pt idx="123">
                  <c:v>0.32811147117929096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Burst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'Input data'!$N$10</c:f>
              <c:numCache>
                <c:formatCode>0.00</c:formatCode>
                <c:ptCount val="1"/>
                <c:pt idx="0">
                  <c:v>36.25021995687959</c:v>
                </c:pt>
              </c:numCache>
            </c:numRef>
          </c:xVal>
          <c:yVal>
            <c:numRef>
              <c:f>'Input data'!$N$12</c:f>
              <c:numCache>
                <c:formatCode>0.00</c:formatCode>
                <c:ptCount val="1"/>
                <c:pt idx="0">
                  <c:v>184.14571015115405</c:v>
                </c:pt>
              </c:numCache>
            </c:numRef>
          </c:yVal>
          <c:smooth val="1"/>
        </c:ser>
        <c:ser>
          <c:idx val="2"/>
          <c:order val="2"/>
          <c:tx>
            <c:v>Burst Diameter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Calculations'!$G$5:$G$25</c:f>
              <c:numCache>
                <c:formatCode>0.00</c:formatCode>
                <c:ptCount val="21"/>
                <c:pt idx="0">
                  <c:v>184.14571015115405</c:v>
                </c:pt>
                <c:pt idx="1">
                  <c:v>162.35121543345068</c:v>
                </c:pt>
                <c:pt idx="2">
                  <c:v>154.14571015115405</c:v>
                </c:pt>
                <c:pt idx="3">
                  <c:v>148.4385680084398</c:v>
                </c:pt>
                <c:pt idx="4">
                  <c:v>144.14571015115405</c:v>
                </c:pt>
                <c:pt idx="5">
                  <c:v>140.84443996193212</c:v>
                </c:pt>
                <c:pt idx="6">
                  <c:v>138.31995320159564</c:v>
                </c:pt>
                <c:pt idx="7">
                  <c:v>136.44875008030675</c:v>
                </c:pt>
                <c:pt idx="8">
                  <c:v>135.1559152954905</c:v>
                </c:pt>
                <c:pt idx="9">
                  <c:v>134.39633829582306</c:v>
                </c:pt>
                <c:pt idx="10">
                  <c:v>134.14571015115405</c:v>
                </c:pt>
                <c:pt idx="11">
                  <c:v>134.39633829582306</c:v>
                </c:pt>
                <c:pt idx="12">
                  <c:v>135.1559152954905</c:v>
                </c:pt>
                <c:pt idx="13">
                  <c:v>136.44875008030675</c:v>
                </c:pt>
                <c:pt idx="14">
                  <c:v>138.31995320159564</c:v>
                </c:pt>
                <c:pt idx="15">
                  <c:v>140.84443996193212</c:v>
                </c:pt>
                <c:pt idx="16">
                  <c:v>144.14571015115405</c:v>
                </c:pt>
                <c:pt idx="17">
                  <c:v>148.4385680084398</c:v>
                </c:pt>
                <c:pt idx="18">
                  <c:v>154.14571015115405</c:v>
                </c:pt>
                <c:pt idx="19">
                  <c:v>162.35121543345068</c:v>
                </c:pt>
                <c:pt idx="20">
                  <c:v>184.14571015115405</c:v>
                </c:pt>
              </c:numCache>
            </c:numRef>
          </c:yVal>
          <c:smooth val="0"/>
        </c:ser>
        <c:ser>
          <c:idx val="3"/>
          <c:order val="3"/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Calculations'!$H$5:$H$25</c:f>
              <c:numCache>
                <c:formatCode>0.00</c:formatCode>
                <c:ptCount val="21"/>
                <c:pt idx="0">
                  <c:v>184.14571015115405</c:v>
                </c:pt>
                <c:pt idx="1">
                  <c:v>205.94020486885742</c:v>
                </c:pt>
                <c:pt idx="2">
                  <c:v>214.14571015115405</c:v>
                </c:pt>
                <c:pt idx="3">
                  <c:v>219.8528522938683</c:v>
                </c:pt>
                <c:pt idx="4">
                  <c:v>224.14571015115405</c:v>
                </c:pt>
                <c:pt idx="5">
                  <c:v>227.44698034037597</c:v>
                </c:pt>
                <c:pt idx="6">
                  <c:v>229.97146710071246</c:v>
                </c:pt>
                <c:pt idx="7">
                  <c:v>231.84267022200135</c:v>
                </c:pt>
                <c:pt idx="8">
                  <c:v>233.1355050068176</c:v>
                </c:pt>
                <c:pt idx="9">
                  <c:v>233.89508200648504</c:v>
                </c:pt>
                <c:pt idx="10">
                  <c:v>234.14571015115405</c:v>
                </c:pt>
                <c:pt idx="11">
                  <c:v>233.89508200648504</c:v>
                </c:pt>
                <c:pt idx="12">
                  <c:v>233.1355050068176</c:v>
                </c:pt>
                <c:pt idx="13">
                  <c:v>231.84267022200135</c:v>
                </c:pt>
                <c:pt idx="14">
                  <c:v>229.97146710071246</c:v>
                </c:pt>
                <c:pt idx="15">
                  <c:v>227.44698034037597</c:v>
                </c:pt>
                <c:pt idx="16">
                  <c:v>224.14571015115405</c:v>
                </c:pt>
                <c:pt idx="17">
                  <c:v>219.8528522938683</c:v>
                </c:pt>
                <c:pt idx="18">
                  <c:v>214.14571015115405</c:v>
                </c:pt>
                <c:pt idx="19">
                  <c:v>205.94020486885742</c:v>
                </c:pt>
                <c:pt idx="20">
                  <c:v>184.14571015115405</c:v>
                </c:pt>
              </c:numCache>
            </c:numRef>
          </c:yVal>
          <c:smooth val="0"/>
        </c:ser>
        <c:ser>
          <c:idx val="4"/>
          <c:order val="4"/>
          <c:tx>
            <c:v>Fallout</c:v>
          </c:tx>
          <c:spPr>
            <a:ln w="38100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sysDot"/>
                <a:tailEnd type="none" w="lg" len="lg"/>
              </a:ln>
            </c:spPr>
          </c:dPt>
          <c:dPt>
            <c:idx val="10"/>
            <c:bubble3D val="0"/>
            <c:spPr>
              <a:ln w="38100">
                <a:solidFill>
                  <a:srgbClr val="FF0000"/>
                </a:solidFill>
                <a:prstDash val="dash"/>
                <a:tailEnd type="stealth" w="lg" len="lg"/>
              </a:ln>
            </c:spPr>
          </c:dPt>
          <c:xVal>
            <c:numRef>
              <c:f>Fallout!$E$3:$E$13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44.192365714650634</c:v>
                </c:pt>
                <c:pt idx="2">
                  <c:v>52.134511472421678</c:v>
                </c:pt>
                <c:pt idx="3">
                  <c:v>60.076657230192723</c:v>
                </c:pt>
                <c:pt idx="4">
                  <c:v>68.018802987963767</c:v>
                </c:pt>
                <c:pt idx="5">
                  <c:v>75.960948745734811</c:v>
                </c:pt>
                <c:pt idx="6">
                  <c:v>83.903094503505855</c:v>
                </c:pt>
                <c:pt idx="7">
                  <c:v>91.845240261276885</c:v>
                </c:pt>
                <c:pt idx="8">
                  <c:v>99.787386019047943</c:v>
                </c:pt>
                <c:pt idx="9">
                  <c:v>107.72953177681897</c:v>
                </c:pt>
                <c:pt idx="10">
                  <c:v>115.67167753459002</c:v>
                </c:pt>
              </c:numCache>
            </c:numRef>
          </c:xVal>
          <c:yVal>
            <c:numRef>
              <c:f>Fallout!$G$3:$G$13</c:f>
              <c:numCache>
                <c:formatCode>0.00</c:formatCode>
                <c:ptCount val="11"/>
                <c:pt idx="0">
                  <c:v>184.14571015115405</c:v>
                </c:pt>
                <c:pt idx="1">
                  <c:v>180.46279594813097</c:v>
                </c:pt>
                <c:pt idx="2">
                  <c:v>178.62133884661944</c:v>
                </c:pt>
                <c:pt idx="3">
                  <c:v>174.93842464359633</c:v>
                </c:pt>
                <c:pt idx="4">
                  <c:v>165.73113913603865</c:v>
                </c:pt>
                <c:pt idx="5">
                  <c:v>138.10928261336554</c:v>
                </c:pt>
                <c:pt idx="6">
                  <c:v>110.48742609069242</c:v>
                </c:pt>
                <c:pt idx="7">
                  <c:v>82.865569568019311</c:v>
                </c:pt>
                <c:pt idx="8">
                  <c:v>55.243713045346226</c:v>
                </c:pt>
                <c:pt idx="9">
                  <c:v>27.621856522673113</c:v>
                </c:pt>
                <c:pt idx="10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wind</c:v>
          </c:tx>
          <c:marker>
            <c:symbol val="none"/>
          </c:marker>
          <c:xVal>
            <c:numRef>
              <c:f>Fallout!$S$37:$S$38</c:f>
              <c:numCache>
                <c:formatCode>General</c:formatCode>
                <c:ptCount val="2"/>
                <c:pt idx="0">
                  <c:v>0</c:v>
                </c:pt>
                <c:pt idx="1">
                  <c:v>62.083333333333186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6"/>
          <c:order val="6"/>
          <c:tx>
            <c:v>Long Burn</c:v>
          </c:tx>
          <c:marker>
            <c:symbol val="none"/>
          </c:marker>
          <c:dPt>
            <c:idx val="1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2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3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4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5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6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7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8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9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</a:ln>
            </c:spPr>
          </c:dPt>
          <c:dPt>
            <c:idx val="10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stealth" w="lg" len="lg"/>
              </a:ln>
            </c:spPr>
          </c:dPt>
          <c:xVal>
            <c:numRef>
              <c:f>Fallout!$L$3:$L$13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52.134511472421678</c:v>
                </c:pt>
                <c:pt idx="2">
                  <c:v>68.018802987963767</c:v>
                </c:pt>
                <c:pt idx="3">
                  <c:v>83.903094503505855</c:v>
                </c:pt>
                <c:pt idx="4">
                  <c:v>99.787386019047943</c:v>
                </c:pt>
                <c:pt idx="5">
                  <c:v>115.67167753459002</c:v>
                </c:pt>
                <c:pt idx="6">
                  <c:v>131.55596905013209</c:v>
                </c:pt>
                <c:pt idx="7">
                  <c:v>147.44026056567418</c:v>
                </c:pt>
                <c:pt idx="8">
                  <c:v>163.32455208121627</c:v>
                </c:pt>
                <c:pt idx="9">
                  <c:v>179.20884359675836</c:v>
                </c:pt>
                <c:pt idx="10">
                  <c:v>195.09313511230044</c:v>
                </c:pt>
              </c:numCache>
            </c:numRef>
          </c:xVal>
          <c:yVal>
            <c:numRef>
              <c:f>Fallout!$N$3:$N$13</c:f>
              <c:numCache>
                <c:formatCode>0.00</c:formatCode>
                <c:ptCount val="11"/>
                <c:pt idx="0">
                  <c:v>184.14571015115405</c:v>
                </c:pt>
                <c:pt idx="1">
                  <c:v>180.46279594813097</c:v>
                </c:pt>
                <c:pt idx="2">
                  <c:v>178.62133884661944</c:v>
                </c:pt>
                <c:pt idx="3">
                  <c:v>174.93842464359633</c:v>
                </c:pt>
                <c:pt idx="4">
                  <c:v>165.73113913603865</c:v>
                </c:pt>
                <c:pt idx="5">
                  <c:v>138.10928261336554</c:v>
                </c:pt>
                <c:pt idx="6">
                  <c:v>110.48742609069242</c:v>
                </c:pt>
                <c:pt idx="7">
                  <c:v>82.865569568019311</c:v>
                </c:pt>
                <c:pt idx="8">
                  <c:v>55.243713045346226</c:v>
                </c:pt>
                <c:pt idx="9">
                  <c:v>27.621856522673113</c:v>
                </c:pt>
                <c:pt idx="10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GROUND LEVEL</c:v>
          </c:tx>
          <c:spPr>
            <a:ln w="190500" cap="flat">
              <a:gradFill>
                <a:gsLst>
                  <a:gs pos="0">
                    <a:schemeClr val="accent6">
                      <a:lumMod val="50000"/>
                    </a:schemeClr>
                  </a:gs>
                  <a:gs pos="100000">
                    <a:schemeClr val="accent1">
                      <a:lumMod val="40000"/>
                      <a:lumOff val="60000"/>
                    </a:schemeClr>
                  </a:gs>
                </a:gsLst>
                <a:lin ang="5400000" scaled="0"/>
              </a:gradFill>
            </a:ln>
          </c:spPr>
          <c:marker>
            <c:symbol val="none"/>
          </c:marker>
          <c:xVal>
            <c:numRef>
              <c:f>Fallout!$B$36:$B$37</c:f>
              <c:numCache>
                <c:formatCode>0.00</c:formatCode>
                <c:ptCount val="2"/>
                <c:pt idx="0" formatCode="General">
                  <c:v>-13.74978004312041</c:v>
                </c:pt>
                <c:pt idx="1">
                  <c:v>204.84779186791548</c:v>
                </c:pt>
              </c:numCache>
            </c:numRef>
          </c:xVal>
          <c:yVal>
            <c:numRef>
              <c:f>Fallout!$C$36:$C$37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69312"/>
        <c:axId val="93071232"/>
      </c:scatterChart>
      <c:valAx>
        <c:axId val="9306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 rtl="0">
                  <a:def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rPr>
                  <a:t>Downrange Carry  (x) [metres]</a:t>
                </a:r>
              </a:p>
            </c:rich>
          </c:tx>
          <c:layout>
            <c:manualLayout>
              <c:xMode val="edge"/>
              <c:yMode val="edge"/>
              <c:x val="5.5275674312325253E-2"/>
              <c:y val="0.88966504045239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071232"/>
        <c:crosses val="autoZero"/>
        <c:crossBetween val="midCat"/>
        <c:majorUnit val="20"/>
        <c:minorUnit val="10"/>
      </c:valAx>
      <c:valAx>
        <c:axId val="9307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 rtl="0">
                  <a:def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rPr>
                  <a:t>Height (z)  [metres]</a:t>
                </a:r>
              </a:p>
            </c:rich>
          </c:tx>
          <c:layout>
            <c:manualLayout>
              <c:xMode val="edge"/>
              <c:yMode val="edge"/>
              <c:x val="0.95446076250105361"/>
              <c:y val="0.12937668082676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069312"/>
        <c:crosses val="autoZero"/>
        <c:crossBetween val="midCat"/>
        <c:majorUnit val="50"/>
        <c:minorUnit val="16.758632028045625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Trajectory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Calculations!$V$6:$V$235</c:f>
              <c:numCache>
                <c:formatCode>General</c:formatCode>
                <c:ptCount val="230"/>
                <c:pt idx="1">
                  <c:v>0.83430085021526412</c:v>
                </c:pt>
                <c:pt idx="2">
                  <c:v>1.6440370284333325</c:v>
                </c:pt>
                <c:pt idx="3">
                  <c:v>2.4343162198293022</c:v>
                </c:pt>
                <c:pt idx="4">
                  <c:v>3.2085776583110484</c:v>
                </c:pt>
                <c:pt idx="5">
                  <c:v>3.9693662930330555</c:v>
                </c:pt>
                <c:pt idx="6">
                  <c:v>4.7186518907565702</c:v>
                </c:pt>
                <c:pt idx="7">
                  <c:v>5.4580027106806881</c:v>
                </c:pt>
                <c:pt idx="8">
                  <c:v>6.1886929997367002</c:v>
                </c:pt>
                <c:pt idx="9">
                  <c:v>6.9117746203368799</c:v>
                </c:pt>
                <c:pt idx="10">
                  <c:v>7.6281271406179183</c:v>
                </c:pt>
                <c:pt idx="11">
                  <c:v>8.3384940974229593</c:v>
                </c:pt>
                <c:pt idx="12">
                  <c:v>9.043509952910691</c:v>
                </c:pt>
                <c:pt idx="13">
                  <c:v>9.7437205619296741</c:v>
                </c:pt>
                <c:pt idx="14">
                  <c:v>10.439598987056222</c:v>
                </c:pt>
                <c:pt idx="15">
                  <c:v>11.131557901992462</c:v>
                </c:pt>
                <c:pt idx="16">
                  <c:v>11.819959445418144</c:v>
                </c:pt>
                <c:pt idx="17">
                  <c:v>12.505123138525333</c:v>
                </c:pt>
                <c:pt idx="18">
                  <c:v>13.187332311177888</c:v>
                </c:pt>
                <c:pt idx="19">
                  <c:v>13.86683936509748</c:v>
                </c:pt>
                <c:pt idx="20">
                  <c:v>14.543870120113343</c:v>
                </c:pt>
                <c:pt idx="21">
                  <c:v>15.218627430263341</c:v>
                </c:pt>
                <c:pt idx="22">
                  <c:v>15.891294213243674</c:v>
                </c:pt>
                <c:pt idx="23">
                  <c:v>16.562036004633821</c:v>
                </c:pt>
                <c:pt idx="24">
                  <c:v>17.231003124267001</c:v>
                </c:pt>
                <c:pt idx="25">
                  <c:v>17.89833252386741</c:v>
                </c:pt>
                <c:pt idx="26">
                  <c:v>18.56414937108929</c:v>
                </c:pt>
                <c:pt idx="27">
                  <c:v>19.22856841427231</c:v>
                </c:pt>
                <c:pt idx="28">
                  <c:v>19.891695163783638</c:v>
                </c:pt>
                <c:pt idx="29">
                  <c:v>20.55362691917454</c:v>
                </c:pt>
                <c:pt idx="30">
                  <c:v>21.21445366611491</c:v>
                </c:pt>
                <c:pt idx="31">
                  <c:v>21.87425886286799</c:v>
                </c:pt>
                <c:pt idx="32">
                  <c:v>22.533120132693014</c:v>
                </c:pt>
                <c:pt idx="33">
                  <c:v>23.191109875836386</c:v>
                </c:pt>
                <c:pt idx="34">
                  <c:v>23.848295812555328</c:v>
                </c:pt>
                <c:pt idx="35">
                  <c:v>24.50474146680595</c:v>
                </c:pt>
                <c:pt idx="36">
                  <c:v>25.160506598738376</c:v>
                </c:pt>
                <c:pt idx="37">
                  <c:v>25.81564759291037</c:v>
                </c:pt>
                <c:pt idx="38">
                  <c:v>26.470217808106241</c:v>
                </c:pt>
                <c:pt idx="39">
                  <c:v>27.124267893787867</c:v>
                </c:pt>
                <c:pt idx="40">
                  <c:v>27.777846077473527</c:v>
                </c:pt>
                <c:pt idx="41">
                  <c:v>28.430998426704864</c:v>
                </c:pt>
                <c:pt idx="42">
                  <c:v>29.083769088687369</c:v>
                </c:pt>
                <c:pt idx="43">
                  <c:v>29.736200510128661</c:v>
                </c:pt>
                <c:pt idx="44">
                  <c:v>30.388333639174366</c:v>
                </c:pt>
                <c:pt idx="45">
                  <c:v>31.040208110497453</c:v>
                </c:pt>
                <c:pt idx="46">
                  <c:v>31.691862413166792</c:v>
                </c:pt>
                <c:pt idx="47">
                  <c:v>32.343334037912392</c:v>
                </c:pt>
                <c:pt idx="48">
                  <c:v>32.994659592704046</c:v>
                </c:pt>
                <c:pt idx="49">
                  <c:v>33.645874851301286</c:v>
                </c:pt>
                <c:pt idx="50">
                  <c:v>34.297014599113979</c:v>
                </c:pt>
                <c:pt idx="51">
                  <c:v>34.948111503479211</c:v>
                </c:pt>
                <c:pt idx="52">
                  <c:v>35.599186096513421</c:v>
                </c:pt>
                <c:pt idx="53">
                  <c:v>36.25021995687959</c:v>
                </c:pt>
                <c:pt idx="54">
                  <c:v>36.901180931337379</c:v>
                </c:pt>
                <c:pt idx="55">
                  <c:v>37.552034934952395</c:v>
                </c:pt>
                <c:pt idx="56">
                  <c:v>38.202747448126772</c:v>
                </c:pt>
                <c:pt idx="57">
                  <c:v>38.85328390569304</c:v>
                </c:pt>
                <c:pt idx="58">
                  <c:v>39.503609868477994</c:v>
                </c:pt>
                <c:pt idx="59">
                  <c:v>40.153691128574877</c:v>
                </c:pt>
                <c:pt idx="60">
                  <c:v>40.803493787790906</c:v>
                </c:pt>
                <c:pt idx="61">
                  <c:v>41.452984322466008</c:v>
                </c:pt>
                <c:pt idx="62">
                  <c:v>42.102129639797944</c:v>
                </c:pt>
                <c:pt idx="63">
                  <c:v>42.750897127859794</c:v>
                </c:pt>
                <c:pt idx="64">
                  <c:v>43.399254700278668</c:v>
                </c:pt>
                <c:pt idx="65">
                  <c:v>44.047170836000298</c:v>
                </c:pt>
                <c:pt idx="66">
                  <c:v>44.694614614310808</c:v>
                </c:pt>
                <c:pt idx="67">
                  <c:v>45.341555745169835</c:v>
                </c:pt>
                <c:pt idx="68">
                  <c:v>45.987964594859974</c:v>
                </c:pt>
                <c:pt idx="69">
                  <c:v>46.633812206943958</c:v>
                </c:pt>
                <c:pt idx="70">
                  <c:v>47.279070318525882</c:v>
                </c:pt>
                <c:pt idx="71">
                  <c:v>47.923711371828041</c:v>
                </c:pt>
                <c:pt idx="72">
                  <c:v>48.567708521114284</c:v>
                </c:pt>
                <c:pt idx="73">
                  <c:v>49.211035635012117</c:v>
                </c:pt>
                <c:pt idx="74">
                  <c:v>49.853667294306391</c:v>
                </c:pt>
                <c:pt idx="75">
                  <c:v>50.495578785296367</c:v>
                </c:pt>
                <c:pt idx="76">
                  <c:v>51.13674608882426</c:v>
                </c:pt>
                <c:pt idx="77">
                  <c:v>51.7771458650965</c:v>
                </c:pt>
                <c:pt idx="78">
                  <c:v>52.416755434428303</c:v>
                </c:pt>
                <c:pt idx="79">
                  <c:v>53.05555275404771</c:v>
                </c:pt>
                <c:pt idx="80">
                  <c:v>53.693516391096644</c:v>
                </c:pt>
                <c:pt idx="81">
                  <c:v>54.330625491963566</c:v>
                </c:pt>
                <c:pt idx="82">
                  <c:v>54.966859748075173</c:v>
                </c:pt>
                <c:pt idx="83">
                  <c:v>55.602199358262681</c:v>
                </c:pt>
                <c:pt idx="84">
                  <c:v>56.236624987802145</c:v>
                </c:pt>
                <c:pt idx="85">
                  <c:v>56.870117724207105</c:v>
                </c:pt>
                <c:pt idx="86">
                  <c:v>57.50265902982612</c:v>
                </c:pt>
                <c:pt idx="87">
                  <c:v>58.134230691266559</c:v>
                </c:pt>
                <c:pt idx="88">
                  <c:v>58.764814765629566</c:v>
                </c:pt>
                <c:pt idx="89">
                  <c:v>59.394393523498302</c:v>
                </c:pt>
                <c:pt idx="90">
                  <c:v>60.022949388572165</c:v>
                </c:pt>
                <c:pt idx="91">
                  <c:v>60.65046487378234</c:v>
                </c:pt>
                <c:pt idx="92">
                  <c:v>61.27692251365761</c:v>
                </c:pt>
                <c:pt idx="93">
                  <c:v>61.902304792632179</c:v>
                </c:pt>
                <c:pt idx="94">
                  <c:v>62.526594068897104</c:v>
                </c:pt>
                <c:pt idx="95">
                  <c:v>63.149772493290712</c:v>
                </c:pt>
                <c:pt idx="96">
                  <c:v>63.771821922597681</c:v>
                </c:pt>
                <c:pt idx="97">
                  <c:v>64.392723826476001</c:v>
                </c:pt>
                <c:pt idx="98">
                  <c:v>65.012459187049444</c:v>
                </c:pt>
                <c:pt idx="99">
                  <c:v>65.631008389982128</c:v>
                </c:pt>
                <c:pt idx="100">
                  <c:v>66.248351105579275</c:v>
                </c:pt>
                <c:pt idx="101">
                  <c:v>66.864466158119569</c:v>
                </c:pt>
                <c:pt idx="102">
                  <c:v>67.479331381198691</c:v>
                </c:pt>
                <c:pt idx="103">
                  <c:v>68.092923456321657</c:v>
                </c:pt>
                <c:pt idx="104">
                  <c:v>68.705217731284648</c:v>
                </c:pt>
                <c:pt idx="105">
                  <c:v>69.316188013978532</c:v>
                </c:pt>
                <c:pt idx="106">
                  <c:v>69.925806336047046</c:v>
                </c:pt>
                <c:pt idx="107">
                  <c:v>70.534042679226246</c:v>
                </c:pt>
                <c:pt idx="108">
                  <c:v>71.140864655007135</c:v>
                </c:pt>
                <c:pt idx="109">
                  <c:v>71.74623712524054</c:v>
                </c:pt>
                <c:pt idx="110">
                  <c:v>72.350121747042991</c:v>
                </c:pt>
                <c:pt idx="111">
                  <c:v>72.952476419228816</c:v>
                </c:pt>
                <c:pt idx="112">
                  <c:v>73.553254598454885</c:v>
                </c:pt>
                <c:pt idx="113">
                  <c:v>74.152404439579499</c:v>
                </c:pt>
                <c:pt idx="114">
                  <c:v>74.749867693369424</c:v>
                </c:pt>
                <c:pt idx="115">
                  <c:v>75.345578260101732</c:v>
                </c:pt>
                <c:pt idx="116">
                  <c:v>75.939460239192741</c:v>
                </c:pt>
                <c:pt idx="117">
                  <c:v>76.53142521116213</c:v>
                </c:pt>
                <c:pt idx="118">
                  <c:v>77.121368291792621</c:v>
                </c:pt>
                <c:pt idx="119">
                  <c:v>77.709162096189715</c:v>
                </c:pt>
                <c:pt idx="120">
                  <c:v>78.294646838252078</c:v>
                </c:pt>
                <c:pt idx="121">
                  <c:v>78.877612410359504</c:v>
                </c:pt>
                <c:pt idx="122">
                  <c:v>79.457760647200004</c:v>
                </c:pt>
                <c:pt idx="123">
                  <c:v>80.034601194491032</c:v>
                </c:pt>
                <c:pt idx="124">
                  <c:v>80.034601194491032</c:v>
                </c:pt>
                <c:pt idx="125">
                  <c:v>80.034601194491032</c:v>
                </c:pt>
                <c:pt idx="126">
                  <c:v>80.034601194491032</c:v>
                </c:pt>
                <c:pt idx="127">
                  <c:v>80.034601194491032</c:v>
                </c:pt>
                <c:pt idx="128">
                  <c:v>80.034601194491032</c:v>
                </c:pt>
                <c:pt idx="129">
                  <c:v>80.034601194491032</c:v>
                </c:pt>
                <c:pt idx="130">
                  <c:v>80.034601194491032</c:v>
                </c:pt>
                <c:pt idx="131">
                  <c:v>80.034601194491032</c:v>
                </c:pt>
                <c:pt idx="132">
                  <c:v>80.034601194491032</c:v>
                </c:pt>
                <c:pt idx="133">
                  <c:v>80.034601194491032</c:v>
                </c:pt>
                <c:pt idx="134">
                  <c:v>80.034601194491032</c:v>
                </c:pt>
                <c:pt idx="135">
                  <c:v>80.034601194491032</c:v>
                </c:pt>
                <c:pt idx="136">
                  <c:v>80.034601194491032</c:v>
                </c:pt>
                <c:pt idx="137">
                  <c:v>80.034601194491032</c:v>
                </c:pt>
                <c:pt idx="138">
                  <c:v>80.034601194491032</c:v>
                </c:pt>
                <c:pt idx="139">
                  <c:v>80.034601194491032</c:v>
                </c:pt>
                <c:pt idx="140">
                  <c:v>80.034601194491032</c:v>
                </c:pt>
                <c:pt idx="141">
                  <c:v>80.034601194491032</c:v>
                </c:pt>
                <c:pt idx="142">
                  <c:v>80.034601194491032</c:v>
                </c:pt>
                <c:pt idx="143">
                  <c:v>80.034601194491032</c:v>
                </c:pt>
                <c:pt idx="144">
                  <c:v>80.034601194491032</c:v>
                </c:pt>
                <c:pt idx="145">
                  <c:v>80.034601194491032</c:v>
                </c:pt>
                <c:pt idx="146">
                  <c:v>80.034601194491032</c:v>
                </c:pt>
                <c:pt idx="147">
                  <c:v>80.034601194491032</c:v>
                </c:pt>
                <c:pt idx="148">
                  <c:v>80.034601194491032</c:v>
                </c:pt>
                <c:pt idx="149">
                  <c:v>80.034601194491032</c:v>
                </c:pt>
                <c:pt idx="150">
                  <c:v>80.034601194491032</c:v>
                </c:pt>
                <c:pt idx="151">
                  <c:v>80.034601194491032</c:v>
                </c:pt>
                <c:pt idx="152">
                  <c:v>80.034601194491032</c:v>
                </c:pt>
                <c:pt idx="153">
                  <c:v>80.034601194491032</c:v>
                </c:pt>
                <c:pt idx="154">
                  <c:v>80.034601194491032</c:v>
                </c:pt>
                <c:pt idx="155">
                  <c:v>80.034601194491032</c:v>
                </c:pt>
                <c:pt idx="156">
                  <c:v>80.034601194491032</c:v>
                </c:pt>
                <c:pt idx="157">
                  <c:v>80.034601194491032</c:v>
                </c:pt>
                <c:pt idx="158">
                  <c:v>80.034601194491032</c:v>
                </c:pt>
                <c:pt idx="159">
                  <c:v>80.034601194491032</c:v>
                </c:pt>
                <c:pt idx="160">
                  <c:v>80.034601194491032</c:v>
                </c:pt>
                <c:pt idx="161">
                  <c:v>80.034601194491032</c:v>
                </c:pt>
                <c:pt idx="162">
                  <c:v>80.034601194491032</c:v>
                </c:pt>
                <c:pt idx="163">
                  <c:v>80.034601194491032</c:v>
                </c:pt>
                <c:pt idx="164">
                  <c:v>80.034601194491032</c:v>
                </c:pt>
                <c:pt idx="165">
                  <c:v>80.034601194491032</c:v>
                </c:pt>
                <c:pt idx="166">
                  <c:v>80.034601194491032</c:v>
                </c:pt>
                <c:pt idx="167">
                  <c:v>80.034601194491032</c:v>
                </c:pt>
                <c:pt idx="168">
                  <c:v>80.034601194491032</c:v>
                </c:pt>
                <c:pt idx="169">
                  <c:v>80.034601194491032</c:v>
                </c:pt>
                <c:pt idx="170">
                  <c:v>80.034601194491032</c:v>
                </c:pt>
                <c:pt idx="171">
                  <c:v>80.034601194491032</c:v>
                </c:pt>
                <c:pt idx="172">
                  <c:v>80.034601194491032</c:v>
                </c:pt>
                <c:pt idx="173">
                  <c:v>80.034601194491032</c:v>
                </c:pt>
                <c:pt idx="174">
                  <c:v>80.034601194491032</c:v>
                </c:pt>
                <c:pt idx="175">
                  <c:v>80.034601194491032</c:v>
                </c:pt>
                <c:pt idx="176">
                  <c:v>80.034601194491032</c:v>
                </c:pt>
                <c:pt idx="177">
                  <c:v>80.034601194491032</c:v>
                </c:pt>
                <c:pt idx="178">
                  <c:v>80.034601194491032</c:v>
                </c:pt>
                <c:pt idx="179">
                  <c:v>80.034601194491032</c:v>
                </c:pt>
                <c:pt idx="180">
                  <c:v>80.034601194491032</c:v>
                </c:pt>
                <c:pt idx="181">
                  <c:v>80.034601194491032</c:v>
                </c:pt>
                <c:pt idx="182">
                  <c:v>80.034601194491032</c:v>
                </c:pt>
                <c:pt idx="183">
                  <c:v>80.034601194491032</c:v>
                </c:pt>
                <c:pt idx="184">
                  <c:v>80.034601194491032</c:v>
                </c:pt>
                <c:pt idx="185">
                  <c:v>80.034601194491032</c:v>
                </c:pt>
                <c:pt idx="186">
                  <c:v>80.034601194491032</c:v>
                </c:pt>
                <c:pt idx="187">
                  <c:v>80.034601194491032</c:v>
                </c:pt>
                <c:pt idx="188">
                  <c:v>80.034601194491032</c:v>
                </c:pt>
                <c:pt idx="189">
                  <c:v>80.034601194491032</c:v>
                </c:pt>
                <c:pt idx="190">
                  <c:v>80.034601194491032</c:v>
                </c:pt>
                <c:pt idx="191">
                  <c:v>80.034601194491032</c:v>
                </c:pt>
                <c:pt idx="192">
                  <c:v>80.034601194491032</c:v>
                </c:pt>
                <c:pt idx="193">
                  <c:v>80.034601194491032</c:v>
                </c:pt>
                <c:pt idx="194">
                  <c:v>80.034601194491032</c:v>
                </c:pt>
                <c:pt idx="195">
                  <c:v>80.034601194491032</c:v>
                </c:pt>
                <c:pt idx="196">
                  <c:v>80.034601194491032</c:v>
                </c:pt>
                <c:pt idx="197">
                  <c:v>80.034601194491032</c:v>
                </c:pt>
                <c:pt idx="198">
                  <c:v>80.034601194491032</c:v>
                </c:pt>
                <c:pt idx="199">
                  <c:v>80.034601194491032</c:v>
                </c:pt>
                <c:pt idx="200">
                  <c:v>80.034601194491032</c:v>
                </c:pt>
                <c:pt idx="201">
                  <c:v>80.034601194491032</c:v>
                </c:pt>
                <c:pt idx="202">
                  <c:v>80.034601194491032</c:v>
                </c:pt>
                <c:pt idx="203">
                  <c:v>80.034601194491032</c:v>
                </c:pt>
                <c:pt idx="204">
                  <c:v>80.034601194491032</c:v>
                </c:pt>
                <c:pt idx="205">
                  <c:v>80.034601194491032</c:v>
                </c:pt>
                <c:pt idx="206">
                  <c:v>80.034601194491032</c:v>
                </c:pt>
                <c:pt idx="207">
                  <c:v>80.034601194491032</c:v>
                </c:pt>
                <c:pt idx="208">
                  <c:v>80.034601194491032</c:v>
                </c:pt>
                <c:pt idx="209">
                  <c:v>80.034601194491032</c:v>
                </c:pt>
                <c:pt idx="210">
                  <c:v>80.034601194491032</c:v>
                </c:pt>
                <c:pt idx="211">
                  <c:v>80.034601194491032</c:v>
                </c:pt>
                <c:pt idx="212">
                  <c:v>80.034601194491032</c:v>
                </c:pt>
                <c:pt idx="213">
                  <c:v>80.034601194491032</c:v>
                </c:pt>
                <c:pt idx="214">
                  <c:v>80.034601194491032</c:v>
                </c:pt>
                <c:pt idx="215">
                  <c:v>80.034601194491032</c:v>
                </c:pt>
                <c:pt idx="216">
                  <c:v>80.034601194491032</c:v>
                </c:pt>
                <c:pt idx="217">
                  <c:v>80.034601194491032</c:v>
                </c:pt>
                <c:pt idx="218">
                  <c:v>80.034601194491032</c:v>
                </c:pt>
                <c:pt idx="219">
                  <c:v>80.034601194491032</c:v>
                </c:pt>
                <c:pt idx="220">
                  <c:v>80.034601194491032</c:v>
                </c:pt>
                <c:pt idx="221">
                  <c:v>80.034601194491032</c:v>
                </c:pt>
                <c:pt idx="222">
                  <c:v>80.034601194491032</c:v>
                </c:pt>
                <c:pt idx="223">
                  <c:v>80.034601194491032</c:v>
                </c:pt>
                <c:pt idx="224">
                  <c:v>80.034601194491032</c:v>
                </c:pt>
                <c:pt idx="225">
                  <c:v>80.034601194491032</c:v>
                </c:pt>
                <c:pt idx="226">
                  <c:v>80.034601194491032</c:v>
                </c:pt>
                <c:pt idx="227">
                  <c:v>80.034601194491032</c:v>
                </c:pt>
                <c:pt idx="228">
                  <c:v>80.034601194491032</c:v>
                </c:pt>
                <c:pt idx="229">
                  <c:v>80.034601194491032</c:v>
                </c:pt>
              </c:numCache>
            </c:numRef>
          </c:xVal>
          <c:yVal>
            <c:numRef>
              <c:f>Calculations!$X$6:$X$235</c:f>
              <c:numCache>
                <c:formatCode>General</c:formatCode>
                <c:ptCount val="230"/>
                <c:pt idx="1">
                  <c:v>11.447504465961586</c:v>
                </c:pt>
                <c:pt idx="2">
                  <c:v>22.019429147712142</c:v>
                </c:pt>
                <c:pt idx="3">
                  <c:v>31.8309573899447</c:v>
                </c:pt>
                <c:pt idx="4">
                  <c:v>40.974559096479354</c:v>
                </c:pt>
                <c:pt idx="5">
                  <c:v>49.525676226287921</c:v>
                </c:pt>
                <c:pt idx="6">
                  <c:v>57.546710132293164</c:v>
                </c:pt>
                <c:pt idx="7">
                  <c:v>65.089893309836157</c:v>
                </c:pt>
                <c:pt idx="8">
                  <c:v>72.199403637192972</c:v>
                </c:pt>
                <c:pt idx="9">
                  <c:v>78.912950718721476</c:v>
                </c:pt>
                <c:pt idx="10">
                  <c:v>85.262986092898018</c:v>
                </c:pt>
                <c:pt idx="11">
                  <c:v>91.277640186958749</c:v>
                </c:pt>
                <c:pt idx="12">
                  <c:v>96.981457316718206</c:v>
                </c:pt>
                <c:pt idx="13">
                  <c:v>102.39597911490013</c:v>
                </c:pt>
                <c:pt idx="14">
                  <c:v>107.54021261699444</c:v>
                </c:pt>
                <c:pt idx="15">
                  <c:v>112.43100946748513</c:v>
                </c:pt>
                <c:pt idx="16">
                  <c:v>117.08337585233016</c:v>
                </c:pt>
                <c:pt idx="17">
                  <c:v>121.51072787250568</c:v>
                </c:pt>
                <c:pt idx="18">
                  <c:v>125.72510353400708</c:v>
                </c:pt>
                <c:pt idx="19">
                  <c:v>129.73733993438961</c:v>
                </c:pt>
                <c:pt idx="20">
                  <c:v>133.55722229967381</c:v>
                </c:pt>
                <c:pt idx="21">
                  <c:v>137.19361007966376</c:v>
                </c:pt>
                <c:pt idx="22">
                  <c:v>140.65454421327019</c:v>
                </c:pt>
                <c:pt idx="23">
                  <c:v>143.94733883584763</c:v>
                </c:pt>
                <c:pt idx="24">
                  <c:v>147.07866005186844</c:v>
                </c:pt>
                <c:pt idx="25">
                  <c:v>150.05459389084416</c:v>
                </c:pt>
                <c:pt idx="26">
                  <c:v>152.8807051675152</c:v>
                </c:pt>
                <c:pt idx="27">
                  <c:v>155.5620886533527</c:v>
                </c:pt>
                <c:pt idx="28">
                  <c:v>158.10341371630059</c:v>
                </c:pt>
                <c:pt idx="29">
                  <c:v>160.50896338512931</c:v>
                </c:pt>
                <c:pt idx="30">
                  <c:v>162.78266863295494</c:v>
                </c:pt>
                <c:pt idx="31">
                  <c:v>164.92813854314414</c:v>
                </c:pt>
                <c:pt idx="32">
                  <c:v>166.94868691363172</c:v>
                </c:pt>
                <c:pt idx="33">
                  <c:v>168.84735576771777</c:v>
                </c:pt>
                <c:pt idx="34">
                  <c:v>170.62693616686016</c:v>
                </c:pt>
                <c:pt idx="35">
                  <c:v>172.28998666083723</c:v>
                </c:pt>
                <c:pt idx="36">
                  <c:v>173.83884966056382</c:v>
                </c:pt>
                <c:pt idx="37">
                  <c:v>175.27566597692072</c:v>
                </c:pt>
                <c:pt idx="38">
                  <c:v>176.60238773371151</c:v>
                </c:pt>
                <c:pt idx="39">
                  <c:v>177.82078983308858</c:v>
                </c:pt>
                <c:pt idx="40">
                  <c:v>178.93248012652538</c:v>
                </c:pt>
                <c:pt idx="41">
                  <c:v>179.93890842287021</c:v>
                </c:pt>
                <c:pt idx="42">
                  <c:v>180.84137444656179</c:v>
                </c:pt>
                <c:pt idx="43">
                  <c:v>181.64103484319614</c:v>
                </c:pt>
                <c:pt idx="44">
                  <c:v>182.33890931588692</c:v>
                </c:pt>
                <c:pt idx="45">
                  <c:v>182.93588596391882</c:v>
                </c:pt>
                <c:pt idx="46">
                  <c:v>183.43272588481321</c:v>
                </c:pt>
                <c:pt idx="47">
                  <c:v>183.83006709203076</c:v>
                </c:pt>
                <c:pt idx="48">
                  <c:v>184.12842779354239</c:v>
                </c:pt>
                <c:pt idx="49">
                  <c:v>184.32820907411099</c:v>
                </c:pt>
                <c:pt idx="50">
                  <c:v>184.42969704462709</c:v>
                </c:pt>
                <c:pt idx="51">
                  <c:v>184.43306477421163</c:v>
                </c:pt>
                <c:pt idx="52">
                  <c:v>184.33838128912097</c:v>
                </c:pt>
                <c:pt idx="53">
                  <c:v>184.14571015115405</c:v>
                </c:pt>
                <c:pt idx="54">
                  <c:v>183.85521601552057</c:v>
                </c:pt>
                <c:pt idx="55">
                  <c:v>183.46717423255012</c:v>
                </c:pt>
                <c:pt idx="56">
                  <c:v>182.98197027116129</c:v>
                </c:pt>
                <c:pt idx="57">
                  <c:v>182.40009825102499</c:v>
                </c:pt>
                <c:pt idx="58">
                  <c:v>181.72215894691359</c:v>
                </c:pt>
                <c:pt idx="59">
                  <c:v>180.9488573216795</c:v>
                </c:pt>
                <c:pt idx="60">
                  <c:v>180.08099961739521</c:v>
                </c:pt>
                <c:pt idx="61">
                  <c:v>179.11949003241534</c:v>
                </c:pt>
                <c:pt idx="62">
                  <c:v>178.06532701415659</c:v>
                </c:pt>
                <c:pt idx="63">
                  <c:v>176.91959919996617</c:v>
                </c:pt>
                <c:pt idx="64">
                  <c:v>175.6834810408333</c:v>
                </c:pt>
                <c:pt idx="65">
                  <c:v>174.35822814467875</c:v>
                </c:pt>
                <c:pt idx="66">
                  <c:v>172.94517237745865</c:v>
                </c:pt>
                <c:pt idx="67">
                  <c:v>171.44571676131534</c:v>
                </c:pt>
                <c:pt idx="68">
                  <c:v>169.86133020949413</c:v>
                </c:pt>
                <c:pt idx="69">
                  <c:v>168.193542137733</c:v>
                </c:pt>
                <c:pt idx="70">
                  <c:v>166.44393699134429</c:v>
                </c:pt>
                <c:pt idx="71">
                  <c:v>164.61414872627282</c:v>
                </c:pt>
                <c:pt idx="72">
                  <c:v>162.70585528107392</c:v>
                </c:pt>
                <c:pt idx="73">
                  <c:v>160.72077307504807</c:v>
                </c:pt>
                <c:pt idx="74">
                  <c:v>158.66065156574669</c:v>
                </c:pt>
                <c:pt idx="75">
                  <c:v>156.52726789677425</c:v>
                </c:pt>
                <c:pt idx="76">
                  <c:v>154.32242166430819</c:v>
                </c:pt>
                <c:pt idx="77">
                  <c:v>152.04792982809178</c:v>
                </c:pt>
                <c:pt idx="78">
                  <c:v>149.70562178987544</c:v>
                </c:pt>
                <c:pt idx="79">
                  <c:v>147.29733465943977</c:v>
                </c:pt>
                <c:pt idx="80">
                  <c:v>144.82490872547183</c:v>
                </c:pt>
                <c:pt idx="81">
                  <c:v>142.29018314572878</c:v>
                </c:pt>
                <c:pt idx="82">
                  <c:v>139.69499186814639</c:v>
                </c:pt>
                <c:pt idx="83">
                  <c:v>137.04115979186707</c:v>
                </c:pt>
                <c:pt idx="84">
                  <c:v>134.33049917460249</c:v>
                </c:pt>
                <c:pt idx="85">
                  <c:v>131.56480629033081</c:v>
                </c:pt>
                <c:pt idx="86">
                  <c:v>128.74585833907895</c:v>
                </c:pt>
                <c:pt idx="87">
                  <c:v>125.87541060846776</c:v>
                </c:pt>
                <c:pt idx="88">
                  <c:v>122.95519388481415</c:v>
                </c:pt>
                <c:pt idx="89">
                  <c:v>119.98691210989273</c:v>
                </c:pt>
                <c:pt idx="90">
                  <c:v>116.97224027796358</c:v>
                </c:pt>
                <c:pt idx="91">
                  <c:v>113.91282256637007</c:v>
                </c:pt>
                <c:pt idx="92">
                  <c:v>110.81027069189736</c:v>
                </c:pt>
                <c:pt idx="93">
                  <c:v>107.66616248415149</c:v>
                </c:pt>
                <c:pt idx="94">
                  <c:v>104.48204066646232</c:v>
                </c:pt>
                <c:pt idx="95">
                  <c:v>101.25941183422101</c:v>
                </c:pt>
                <c:pt idx="96">
                  <c:v>97.999745620122454</c:v>
                </c:pt>
                <c:pt idx="97">
                  <c:v>94.704474035484211</c:v>
                </c:pt>
                <c:pt idx="98">
                  <c:v>91.374990976642096</c:v>
                </c:pt>
                <c:pt idx="99">
                  <c:v>88.01265188536749</c:v>
                </c:pt>
                <c:pt idx="100">
                  <c:v>84.618773552299132</c:v>
                </c:pt>
                <c:pt idx="101">
                  <c:v>81.194634052521195</c:v>
                </c:pt>
                <c:pt idx="102">
                  <c:v>77.741472802638057</c:v>
                </c:pt>
                <c:pt idx="103">
                  <c:v>74.260490728983555</c:v>
                </c:pt>
                <c:pt idx="104">
                  <c:v>70.752850536949069</c:v>
                </c:pt>
                <c:pt idx="105">
                  <c:v>67.219677071812214</c:v>
                </c:pt>
                <c:pt idx="106">
                  <c:v>63.662057761888306</c:v>
                </c:pt>
                <c:pt idx="107">
                  <c:v>60.081043135306601</c:v>
                </c:pt>
                <c:pt idx="108">
                  <c:v>56.477647402228534</c:v>
                </c:pt>
                <c:pt idx="109">
                  <c:v>52.852849094878245</c:v>
                </c:pt>
                <c:pt idx="110">
                  <c:v>49.207591758352571</c:v>
                </c:pt>
                <c:pt idx="111">
                  <c:v>45.542784685834306</c:v>
                </c:pt>
                <c:pt idx="112">
                  <c:v>41.859303692578941</c:v>
                </c:pt>
                <c:pt idx="113">
                  <c:v>38.157991923937544</c:v>
                </c:pt>
                <c:pt idx="114">
                  <c:v>34.4396606938218</c:v>
                </c:pt>
                <c:pt idx="115">
                  <c:v>30.705090351611403</c:v>
                </c:pt>
                <c:pt idx="116">
                  <c:v>26.95503117794815</c:v>
                </c:pt>
                <c:pt idx="117">
                  <c:v>23.190204313995487</c:v>
                </c:pt>
                <c:pt idx="118">
                  <c:v>19.411302736475896</c:v>
                </c:pt>
                <c:pt idx="119">
                  <c:v>15.618992306879328</c:v>
                </c:pt>
                <c:pt idx="120">
                  <c:v>11.813912960987542</c:v>
                </c:pt>
                <c:pt idx="121">
                  <c:v>7.996680208249364</c:v>
                </c:pt>
                <c:pt idx="122">
                  <c:v>4.1678874632889826</c:v>
                </c:pt>
                <c:pt idx="123">
                  <c:v>0.32811147117929096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Burst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'Input data'!$N$10</c:f>
              <c:numCache>
                <c:formatCode>0.00</c:formatCode>
                <c:ptCount val="1"/>
                <c:pt idx="0">
                  <c:v>36.25021995687959</c:v>
                </c:pt>
              </c:numCache>
            </c:numRef>
          </c:xVal>
          <c:yVal>
            <c:numRef>
              <c:f>'Input data'!$N$12</c:f>
              <c:numCache>
                <c:formatCode>0.00</c:formatCode>
                <c:ptCount val="1"/>
                <c:pt idx="0">
                  <c:v>184.14571015115405</c:v>
                </c:pt>
              </c:numCache>
            </c:numRef>
          </c:yVal>
          <c:smooth val="1"/>
        </c:ser>
        <c:ser>
          <c:idx val="2"/>
          <c:order val="2"/>
          <c:tx>
            <c:v>Burst Diameter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Calculations'!$G$5:$G$25</c:f>
              <c:numCache>
                <c:formatCode>0.00</c:formatCode>
                <c:ptCount val="21"/>
                <c:pt idx="0">
                  <c:v>184.14571015115405</c:v>
                </c:pt>
                <c:pt idx="1">
                  <c:v>162.35121543345068</c:v>
                </c:pt>
                <c:pt idx="2">
                  <c:v>154.14571015115405</c:v>
                </c:pt>
                <c:pt idx="3">
                  <c:v>148.4385680084398</c:v>
                </c:pt>
                <c:pt idx="4">
                  <c:v>144.14571015115405</c:v>
                </c:pt>
                <c:pt idx="5">
                  <c:v>140.84443996193212</c:v>
                </c:pt>
                <c:pt idx="6">
                  <c:v>138.31995320159564</c:v>
                </c:pt>
                <c:pt idx="7">
                  <c:v>136.44875008030675</c:v>
                </c:pt>
                <c:pt idx="8">
                  <c:v>135.1559152954905</c:v>
                </c:pt>
                <c:pt idx="9">
                  <c:v>134.39633829582306</c:v>
                </c:pt>
                <c:pt idx="10">
                  <c:v>134.14571015115405</c:v>
                </c:pt>
                <c:pt idx="11">
                  <c:v>134.39633829582306</c:v>
                </c:pt>
                <c:pt idx="12">
                  <c:v>135.1559152954905</c:v>
                </c:pt>
                <c:pt idx="13">
                  <c:v>136.44875008030675</c:v>
                </c:pt>
                <c:pt idx="14">
                  <c:v>138.31995320159564</c:v>
                </c:pt>
                <c:pt idx="15">
                  <c:v>140.84443996193212</c:v>
                </c:pt>
                <c:pt idx="16">
                  <c:v>144.14571015115405</c:v>
                </c:pt>
                <c:pt idx="17">
                  <c:v>148.4385680084398</c:v>
                </c:pt>
                <c:pt idx="18">
                  <c:v>154.14571015115405</c:v>
                </c:pt>
                <c:pt idx="19">
                  <c:v>162.35121543345068</c:v>
                </c:pt>
                <c:pt idx="20">
                  <c:v>184.14571015115405</c:v>
                </c:pt>
              </c:numCache>
            </c:numRef>
          </c:yVal>
          <c:smooth val="0"/>
        </c:ser>
        <c:ser>
          <c:idx val="3"/>
          <c:order val="3"/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Calculations'!$H$5:$H$25</c:f>
              <c:numCache>
                <c:formatCode>0.00</c:formatCode>
                <c:ptCount val="21"/>
                <c:pt idx="0">
                  <c:v>184.14571015115405</c:v>
                </c:pt>
                <c:pt idx="1">
                  <c:v>205.94020486885742</c:v>
                </c:pt>
                <c:pt idx="2">
                  <c:v>214.14571015115405</c:v>
                </c:pt>
                <c:pt idx="3">
                  <c:v>219.8528522938683</c:v>
                </c:pt>
                <c:pt idx="4">
                  <c:v>224.14571015115405</c:v>
                </c:pt>
                <c:pt idx="5">
                  <c:v>227.44698034037597</c:v>
                </c:pt>
                <c:pt idx="6">
                  <c:v>229.97146710071246</c:v>
                </c:pt>
                <c:pt idx="7">
                  <c:v>231.84267022200135</c:v>
                </c:pt>
                <c:pt idx="8">
                  <c:v>233.1355050068176</c:v>
                </c:pt>
                <c:pt idx="9">
                  <c:v>233.89508200648504</c:v>
                </c:pt>
                <c:pt idx="10">
                  <c:v>234.14571015115405</c:v>
                </c:pt>
                <c:pt idx="11">
                  <c:v>233.89508200648504</c:v>
                </c:pt>
                <c:pt idx="12">
                  <c:v>233.1355050068176</c:v>
                </c:pt>
                <c:pt idx="13">
                  <c:v>231.84267022200135</c:v>
                </c:pt>
                <c:pt idx="14">
                  <c:v>229.97146710071246</c:v>
                </c:pt>
                <c:pt idx="15">
                  <c:v>227.44698034037597</c:v>
                </c:pt>
                <c:pt idx="16">
                  <c:v>224.14571015115405</c:v>
                </c:pt>
                <c:pt idx="17">
                  <c:v>219.8528522938683</c:v>
                </c:pt>
                <c:pt idx="18">
                  <c:v>214.14571015115405</c:v>
                </c:pt>
                <c:pt idx="19">
                  <c:v>205.94020486885742</c:v>
                </c:pt>
                <c:pt idx="20">
                  <c:v>184.14571015115405</c:v>
                </c:pt>
              </c:numCache>
            </c:numRef>
          </c:yVal>
          <c:smooth val="0"/>
        </c:ser>
        <c:ser>
          <c:idx val="4"/>
          <c:order val="4"/>
          <c:tx>
            <c:v>Fallout</c:v>
          </c:tx>
          <c:spPr>
            <a:ln w="38100">
              <a:solidFill>
                <a:srgbClr val="FF0000"/>
              </a:solidFill>
              <a:prstDash val="dash"/>
              <a:tailEnd type="stealth" w="lg" len="lg"/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9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10"/>
            <c:bubble3D val="0"/>
          </c:dPt>
          <c:xVal>
            <c:numRef>
              <c:f>Fallout!$E$3:$E$13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44.192365714650634</c:v>
                </c:pt>
                <c:pt idx="2">
                  <c:v>52.134511472421678</c:v>
                </c:pt>
                <c:pt idx="3">
                  <c:v>60.076657230192723</c:v>
                </c:pt>
                <c:pt idx="4">
                  <c:v>68.018802987963767</c:v>
                </c:pt>
                <c:pt idx="5">
                  <c:v>75.960948745734811</c:v>
                </c:pt>
                <c:pt idx="6">
                  <c:v>83.903094503505855</c:v>
                </c:pt>
                <c:pt idx="7">
                  <c:v>91.845240261276885</c:v>
                </c:pt>
                <c:pt idx="8">
                  <c:v>99.787386019047943</c:v>
                </c:pt>
                <c:pt idx="9">
                  <c:v>107.72953177681897</c:v>
                </c:pt>
                <c:pt idx="10">
                  <c:v>115.67167753459002</c:v>
                </c:pt>
              </c:numCache>
            </c:numRef>
          </c:xVal>
          <c:yVal>
            <c:numRef>
              <c:f>Fallout!$G$3:$G$13</c:f>
              <c:numCache>
                <c:formatCode>0.00</c:formatCode>
                <c:ptCount val="11"/>
                <c:pt idx="0">
                  <c:v>184.14571015115405</c:v>
                </c:pt>
                <c:pt idx="1">
                  <c:v>180.46279594813097</c:v>
                </c:pt>
                <c:pt idx="2">
                  <c:v>178.62133884661944</c:v>
                </c:pt>
                <c:pt idx="3">
                  <c:v>174.93842464359633</c:v>
                </c:pt>
                <c:pt idx="4">
                  <c:v>165.73113913603865</c:v>
                </c:pt>
                <c:pt idx="5">
                  <c:v>138.10928261336554</c:v>
                </c:pt>
                <c:pt idx="6">
                  <c:v>110.48742609069242</c:v>
                </c:pt>
                <c:pt idx="7">
                  <c:v>82.865569568019311</c:v>
                </c:pt>
                <c:pt idx="8">
                  <c:v>55.243713045346226</c:v>
                </c:pt>
                <c:pt idx="9">
                  <c:v>27.621856522673113</c:v>
                </c:pt>
                <c:pt idx="10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wind</c:v>
          </c:tx>
          <c:marker>
            <c:symbol val="none"/>
          </c:marker>
          <c:xVal>
            <c:numRef>
              <c:f>Fallout!$S$37:$S$38</c:f>
              <c:numCache>
                <c:formatCode>General</c:formatCode>
                <c:ptCount val="2"/>
                <c:pt idx="0">
                  <c:v>0</c:v>
                </c:pt>
                <c:pt idx="1">
                  <c:v>62.083333333333186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6"/>
          <c:order val="6"/>
          <c:tx>
            <c:v>Long Burn</c:v>
          </c:tx>
          <c:spPr>
            <a:ln w="38100">
              <a:solidFill>
                <a:schemeClr val="accent6">
                  <a:lumMod val="75000"/>
                </a:schemeClr>
              </a:solidFill>
              <a:prstDash val="sysDot"/>
              <a:tailEnd type="stealth" w="lg" len="lg"/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2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3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4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5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6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7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8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9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10"/>
            <c:bubble3D val="0"/>
          </c:dPt>
          <c:xVal>
            <c:numRef>
              <c:f>Fallout!$L$3:$L$13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52.134511472421678</c:v>
                </c:pt>
                <c:pt idx="2">
                  <c:v>68.018802987963767</c:v>
                </c:pt>
                <c:pt idx="3">
                  <c:v>83.903094503505855</c:v>
                </c:pt>
                <c:pt idx="4">
                  <c:v>99.787386019047943</c:v>
                </c:pt>
                <c:pt idx="5">
                  <c:v>115.67167753459002</c:v>
                </c:pt>
                <c:pt idx="6">
                  <c:v>131.55596905013209</c:v>
                </c:pt>
                <c:pt idx="7">
                  <c:v>147.44026056567418</c:v>
                </c:pt>
                <c:pt idx="8">
                  <c:v>163.32455208121627</c:v>
                </c:pt>
                <c:pt idx="9">
                  <c:v>179.20884359675836</c:v>
                </c:pt>
                <c:pt idx="10">
                  <c:v>195.09313511230044</c:v>
                </c:pt>
              </c:numCache>
            </c:numRef>
          </c:xVal>
          <c:yVal>
            <c:numRef>
              <c:f>Fallout!$N$3:$N$13</c:f>
              <c:numCache>
                <c:formatCode>0.00</c:formatCode>
                <c:ptCount val="11"/>
                <c:pt idx="0">
                  <c:v>184.14571015115405</c:v>
                </c:pt>
                <c:pt idx="1">
                  <c:v>180.46279594813097</c:v>
                </c:pt>
                <c:pt idx="2">
                  <c:v>178.62133884661944</c:v>
                </c:pt>
                <c:pt idx="3">
                  <c:v>174.93842464359633</c:v>
                </c:pt>
                <c:pt idx="4">
                  <c:v>165.73113913603865</c:v>
                </c:pt>
                <c:pt idx="5">
                  <c:v>138.10928261336554</c:v>
                </c:pt>
                <c:pt idx="6">
                  <c:v>110.48742609069242</c:v>
                </c:pt>
                <c:pt idx="7">
                  <c:v>82.865569568019311</c:v>
                </c:pt>
                <c:pt idx="8">
                  <c:v>55.243713045346226</c:v>
                </c:pt>
                <c:pt idx="9">
                  <c:v>27.621856522673113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31904"/>
        <c:axId val="95141888"/>
      </c:scatterChart>
      <c:valAx>
        <c:axId val="95131904"/>
        <c:scaling>
          <c:orientation val="minMax"/>
          <c:max val="300"/>
          <c:min val="-300"/>
        </c:scaling>
        <c:delete val="0"/>
        <c:axPos val="b"/>
        <c:minorGridlines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141888"/>
        <c:crosses val="autoZero"/>
        <c:crossBetween val="midCat"/>
        <c:majorUnit val="20"/>
        <c:minorUnit val="10"/>
      </c:valAx>
      <c:valAx>
        <c:axId val="95141888"/>
        <c:scaling>
          <c:orientation val="minMax"/>
          <c:max val="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131904"/>
        <c:crosses val="autoZero"/>
        <c:crossBetween val="midCat"/>
        <c:majorUnit val="50"/>
        <c:minorUnit val="10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GB" sz="1400" b="1" i="0" u="none" strike="noStrike" baseline="0">
                <a:solidFill>
                  <a:schemeClr val="accent1">
                    <a:lumMod val="75000"/>
                  </a:schemeClr>
                </a:solidFill>
                <a:latin typeface="Tahoma"/>
                <a:ea typeface="Tahoma"/>
                <a:cs typeface="Tahoma"/>
              </a:rPr>
              <a:t>Predicted Trajectory [x/z plot]</a:t>
            </a:r>
            <a:endParaRPr lang="en-GB" sz="1600" b="1" i="0" u="none" strike="noStrike" baseline="0">
              <a:solidFill>
                <a:schemeClr val="accent1">
                  <a:lumMod val="75000"/>
                </a:schemeClr>
              </a:solidFill>
              <a:latin typeface="Tahoma"/>
              <a:ea typeface="Tahoma"/>
              <a:cs typeface="Tahoma"/>
            </a:endParaRPr>
          </a:p>
        </c:rich>
      </c:tx>
      <c:layout>
        <c:manualLayout>
          <c:xMode val="edge"/>
          <c:yMode val="edge"/>
          <c:x val="6.887905284028846E-2"/>
          <c:y val="1.085481682496607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Trajectory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Calculations!$V$6:$V$235</c:f>
              <c:numCache>
                <c:formatCode>General</c:formatCode>
                <c:ptCount val="230"/>
                <c:pt idx="1">
                  <c:v>0.83430085021526412</c:v>
                </c:pt>
                <c:pt idx="2">
                  <c:v>1.6440370284333325</c:v>
                </c:pt>
                <c:pt idx="3">
                  <c:v>2.4343162198293022</c:v>
                </c:pt>
                <c:pt idx="4">
                  <c:v>3.2085776583110484</c:v>
                </c:pt>
                <c:pt idx="5">
                  <c:v>3.9693662930330555</c:v>
                </c:pt>
                <c:pt idx="6">
                  <c:v>4.7186518907565702</c:v>
                </c:pt>
                <c:pt idx="7">
                  <c:v>5.4580027106806881</c:v>
                </c:pt>
                <c:pt idx="8">
                  <c:v>6.1886929997367002</c:v>
                </c:pt>
                <c:pt idx="9">
                  <c:v>6.9117746203368799</c:v>
                </c:pt>
                <c:pt idx="10">
                  <c:v>7.6281271406179183</c:v>
                </c:pt>
                <c:pt idx="11">
                  <c:v>8.3384940974229593</c:v>
                </c:pt>
                <c:pt idx="12">
                  <c:v>9.043509952910691</c:v>
                </c:pt>
                <c:pt idx="13">
                  <c:v>9.7437205619296741</c:v>
                </c:pt>
                <c:pt idx="14">
                  <c:v>10.439598987056222</c:v>
                </c:pt>
                <c:pt idx="15">
                  <c:v>11.131557901992462</c:v>
                </c:pt>
                <c:pt idx="16">
                  <c:v>11.819959445418144</c:v>
                </c:pt>
                <c:pt idx="17">
                  <c:v>12.505123138525333</c:v>
                </c:pt>
                <c:pt idx="18">
                  <c:v>13.187332311177888</c:v>
                </c:pt>
                <c:pt idx="19">
                  <c:v>13.86683936509748</c:v>
                </c:pt>
                <c:pt idx="20">
                  <c:v>14.543870120113343</c:v>
                </c:pt>
                <c:pt idx="21">
                  <c:v>15.218627430263341</c:v>
                </c:pt>
                <c:pt idx="22">
                  <c:v>15.891294213243674</c:v>
                </c:pt>
                <c:pt idx="23">
                  <c:v>16.562036004633821</c:v>
                </c:pt>
                <c:pt idx="24">
                  <c:v>17.231003124267001</c:v>
                </c:pt>
                <c:pt idx="25">
                  <c:v>17.89833252386741</c:v>
                </c:pt>
                <c:pt idx="26">
                  <c:v>18.56414937108929</c:v>
                </c:pt>
                <c:pt idx="27">
                  <c:v>19.22856841427231</c:v>
                </c:pt>
                <c:pt idx="28">
                  <c:v>19.891695163783638</c:v>
                </c:pt>
                <c:pt idx="29">
                  <c:v>20.55362691917454</c:v>
                </c:pt>
                <c:pt idx="30">
                  <c:v>21.21445366611491</c:v>
                </c:pt>
                <c:pt idx="31">
                  <c:v>21.87425886286799</c:v>
                </c:pt>
                <c:pt idx="32">
                  <c:v>22.533120132693014</c:v>
                </c:pt>
                <c:pt idx="33">
                  <c:v>23.191109875836386</c:v>
                </c:pt>
                <c:pt idx="34">
                  <c:v>23.848295812555328</c:v>
                </c:pt>
                <c:pt idx="35">
                  <c:v>24.50474146680595</c:v>
                </c:pt>
                <c:pt idx="36">
                  <c:v>25.160506598738376</c:v>
                </c:pt>
                <c:pt idx="37">
                  <c:v>25.81564759291037</c:v>
                </c:pt>
                <c:pt idx="38">
                  <c:v>26.470217808106241</c:v>
                </c:pt>
                <c:pt idx="39">
                  <c:v>27.124267893787867</c:v>
                </c:pt>
                <c:pt idx="40">
                  <c:v>27.777846077473527</c:v>
                </c:pt>
                <c:pt idx="41">
                  <c:v>28.430998426704864</c:v>
                </c:pt>
                <c:pt idx="42">
                  <c:v>29.083769088687369</c:v>
                </c:pt>
                <c:pt idx="43">
                  <c:v>29.736200510128661</c:v>
                </c:pt>
                <c:pt idx="44">
                  <c:v>30.388333639174366</c:v>
                </c:pt>
                <c:pt idx="45">
                  <c:v>31.040208110497453</c:v>
                </c:pt>
                <c:pt idx="46">
                  <c:v>31.691862413166792</c:v>
                </c:pt>
                <c:pt idx="47">
                  <c:v>32.343334037912392</c:v>
                </c:pt>
                <c:pt idx="48">
                  <c:v>32.994659592704046</c:v>
                </c:pt>
                <c:pt idx="49">
                  <c:v>33.645874851301286</c:v>
                </c:pt>
                <c:pt idx="50">
                  <c:v>34.297014599113979</c:v>
                </c:pt>
                <c:pt idx="51">
                  <c:v>34.948111503479211</c:v>
                </c:pt>
                <c:pt idx="52">
                  <c:v>35.599186096513421</c:v>
                </c:pt>
                <c:pt idx="53">
                  <c:v>36.25021995687959</c:v>
                </c:pt>
                <c:pt idx="54">
                  <c:v>36.901180931337379</c:v>
                </c:pt>
                <c:pt idx="55">
                  <c:v>37.552034934952395</c:v>
                </c:pt>
                <c:pt idx="56">
                  <c:v>38.202747448126772</c:v>
                </c:pt>
                <c:pt idx="57">
                  <c:v>38.85328390569304</c:v>
                </c:pt>
                <c:pt idx="58">
                  <c:v>39.503609868477994</c:v>
                </c:pt>
                <c:pt idx="59">
                  <c:v>40.153691128574877</c:v>
                </c:pt>
                <c:pt idx="60">
                  <c:v>40.803493787790906</c:v>
                </c:pt>
                <c:pt idx="61">
                  <c:v>41.452984322466008</c:v>
                </c:pt>
                <c:pt idx="62">
                  <c:v>42.102129639797944</c:v>
                </c:pt>
                <c:pt idx="63">
                  <c:v>42.750897127859794</c:v>
                </c:pt>
                <c:pt idx="64">
                  <c:v>43.399254700278668</c:v>
                </c:pt>
                <c:pt idx="65">
                  <c:v>44.047170836000298</c:v>
                </c:pt>
                <c:pt idx="66">
                  <c:v>44.694614614310808</c:v>
                </c:pt>
                <c:pt idx="67">
                  <c:v>45.341555745169835</c:v>
                </c:pt>
                <c:pt idx="68">
                  <c:v>45.987964594859974</c:v>
                </c:pt>
                <c:pt idx="69">
                  <c:v>46.633812206943958</c:v>
                </c:pt>
                <c:pt idx="70">
                  <c:v>47.279070318525882</c:v>
                </c:pt>
                <c:pt idx="71">
                  <c:v>47.923711371828041</c:v>
                </c:pt>
                <c:pt idx="72">
                  <c:v>48.567708521114284</c:v>
                </c:pt>
                <c:pt idx="73">
                  <c:v>49.211035635012117</c:v>
                </c:pt>
                <c:pt idx="74">
                  <c:v>49.853667294306391</c:v>
                </c:pt>
                <c:pt idx="75">
                  <c:v>50.495578785296367</c:v>
                </c:pt>
                <c:pt idx="76">
                  <c:v>51.13674608882426</c:v>
                </c:pt>
                <c:pt idx="77">
                  <c:v>51.7771458650965</c:v>
                </c:pt>
                <c:pt idx="78">
                  <c:v>52.416755434428303</c:v>
                </c:pt>
                <c:pt idx="79">
                  <c:v>53.05555275404771</c:v>
                </c:pt>
                <c:pt idx="80">
                  <c:v>53.693516391096644</c:v>
                </c:pt>
                <c:pt idx="81">
                  <c:v>54.330625491963566</c:v>
                </c:pt>
                <c:pt idx="82">
                  <c:v>54.966859748075173</c:v>
                </c:pt>
                <c:pt idx="83">
                  <c:v>55.602199358262681</c:v>
                </c:pt>
                <c:pt idx="84">
                  <c:v>56.236624987802145</c:v>
                </c:pt>
                <c:pt idx="85">
                  <c:v>56.870117724207105</c:v>
                </c:pt>
                <c:pt idx="86">
                  <c:v>57.50265902982612</c:v>
                </c:pt>
                <c:pt idx="87">
                  <c:v>58.134230691266559</c:v>
                </c:pt>
                <c:pt idx="88">
                  <c:v>58.764814765629566</c:v>
                </c:pt>
                <c:pt idx="89">
                  <c:v>59.394393523498302</c:v>
                </c:pt>
                <c:pt idx="90">
                  <c:v>60.022949388572165</c:v>
                </c:pt>
                <c:pt idx="91">
                  <c:v>60.65046487378234</c:v>
                </c:pt>
                <c:pt idx="92">
                  <c:v>61.27692251365761</c:v>
                </c:pt>
                <c:pt idx="93">
                  <c:v>61.902304792632179</c:v>
                </c:pt>
                <c:pt idx="94">
                  <c:v>62.526594068897104</c:v>
                </c:pt>
                <c:pt idx="95">
                  <c:v>63.149772493290712</c:v>
                </c:pt>
                <c:pt idx="96">
                  <c:v>63.771821922597681</c:v>
                </c:pt>
                <c:pt idx="97">
                  <c:v>64.392723826476001</c:v>
                </c:pt>
                <c:pt idx="98">
                  <c:v>65.012459187049444</c:v>
                </c:pt>
                <c:pt idx="99">
                  <c:v>65.631008389982128</c:v>
                </c:pt>
                <c:pt idx="100">
                  <c:v>66.248351105579275</c:v>
                </c:pt>
                <c:pt idx="101">
                  <c:v>66.864466158119569</c:v>
                </c:pt>
                <c:pt idx="102">
                  <c:v>67.479331381198691</c:v>
                </c:pt>
                <c:pt idx="103">
                  <c:v>68.092923456321657</c:v>
                </c:pt>
                <c:pt idx="104">
                  <c:v>68.705217731284648</c:v>
                </c:pt>
                <c:pt idx="105">
                  <c:v>69.316188013978532</c:v>
                </c:pt>
                <c:pt idx="106">
                  <c:v>69.925806336047046</c:v>
                </c:pt>
                <c:pt idx="107">
                  <c:v>70.534042679226246</c:v>
                </c:pt>
                <c:pt idx="108">
                  <c:v>71.140864655007135</c:v>
                </c:pt>
                <c:pt idx="109">
                  <c:v>71.74623712524054</c:v>
                </c:pt>
                <c:pt idx="110">
                  <c:v>72.350121747042991</c:v>
                </c:pt>
                <c:pt idx="111">
                  <c:v>72.952476419228816</c:v>
                </c:pt>
                <c:pt idx="112">
                  <c:v>73.553254598454885</c:v>
                </c:pt>
                <c:pt idx="113">
                  <c:v>74.152404439579499</c:v>
                </c:pt>
                <c:pt idx="114">
                  <c:v>74.749867693369424</c:v>
                </c:pt>
                <c:pt idx="115">
                  <c:v>75.345578260101732</c:v>
                </c:pt>
                <c:pt idx="116">
                  <c:v>75.939460239192741</c:v>
                </c:pt>
                <c:pt idx="117">
                  <c:v>76.53142521116213</c:v>
                </c:pt>
                <c:pt idx="118">
                  <c:v>77.121368291792621</c:v>
                </c:pt>
                <c:pt idx="119">
                  <c:v>77.709162096189715</c:v>
                </c:pt>
                <c:pt idx="120">
                  <c:v>78.294646838252078</c:v>
                </c:pt>
                <c:pt idx="121">
                  <c:v>78.877612410359504</c:v>
                </c:pt>
                <c:pt idx="122">
                  <c:v>79.457760647200004</c:v>
                </c:pt>
                <c:pt idx="123">
                  <c:v>80.034601194491032</c:v>
                </c:pt>
                <c:pt idx="124">
                  <c:v>80.034601194491032</c:v>
                </c:pt>
                <c:pt idx="125">
                  <c:v>80.034601194491032</c:v>
                </c:pt>
                <c:pt idx="126">
                  <c:v>80.034601194491032</c:v>
                </c:pt>
                <c:pt idx="127">
                  <c:v>80.034601194491032</c:v>
                </c:pt>
                <c:pt idx="128">
                  <c:v>80.034601194491032</c:v>
                </c:pt>
                <c:pt idx="129">
                  <c:v>80.034601194491032</c:v>
                </c:pt>
                <c:pt idx="130">
                  <c:v>80.034601194491032</c:v>
                </c:pt>
                <c:pt idx="131">
                  <c:v>80.034601194491032</c:v>
                </c:pt>
                <c:pt idx="132">
                  <c:v>80.034601194491032</c:v>
                </c:pt>
                <c:pt idx="133">
                  <c:v>80.034601194491032</c:v>
                </c:pt>
                <c:pt idx="134">
                  <c:v>80.034601194491032</c:v>
                </c:pt>
                <c:pt idx="135">
                  <c:v>80.034601194491032</c:v>
                </c:pt>
                <c:pt idx="136">
                  <c:v>80.034601194491032</c:v>
                </c:pt>
                <c:pt idx="137">
                  <c:v>80.034601194491032</c:v>
                </c:pt>
                <c:pt idx="138">
                  <c:v>80.034601194491032</c:v>
                </c:pt>
                <c:pt idx="139">
                  <c:v>80.034601194491032</c:v>
                </c:pt>
                <c:pt idx="140">
                  <c:v>80.034601194491032</c:v>
                </c:pt>
                <c:pt idx="141">
                  <c:v>80.034601194491032</c:v>
                </c:pt>
                <c:pt idx="142">
                  <c:v>80.034601194491032</c:v>
                </c:pt>
                <c:pt idx="143">
                  <c:v>80.034601194491032</c:v>
                </c:pt>
                <c:pt idx="144">
                  <c:v>80.034601194491032</c:v>
                </c:pt>
                <c:pt idx="145">
                  <c:v>80.034601194491032</c:v>
                </c:pt>
                <c:pt idx="146">
                  <c:v>80.034601194491032</c:v>
                </c:pt>
                <c:pt idx="147">
                  <c:v>80.034601194491032</c:v>
                </c:pt>
                <c:pt idx="148">
                  <c:v>80.034601194491032</c:v>
                </c:pt>
                <c:pt idx="149">
                  <c:v>80.034601194491032</c:v>
                </c:pt>
                <c:pt idx="150">
                  <c:v>80.034601194491032</c:v>
                </c:pt>
                <c:pt idx="151">
                  <c:v>80.034601194491032</c:v>
                </c:pt>
                <c:pt idx="152">
                  <c:v>80.034601194491032</c:v>
                </c:pt>
                <c:pt idx="153">
                  <c:v>80.034601194491032</c:v>
                </c:pt>
                <c:pt idx="154">
                  <c:v>80.034601194491032</c:v>
                </c:pt>
                <c:pt idx="155">
                  <c:v>80.034601194491032</c:v>
                </c:pt>
                <c:pt idx="156">
                  <c:v>80.034601194491032</c:v>
                </c:pt>
                <c:pt idx="157">
                  <c:v>80.034601194491032</c:v>
                </c:pt>
                <c:pt idx="158">
                  <c:v>80.034601194491032</c:v>
                </c:pt>
                <c:pt idx="159">
                  <c:v>80.034601194491032</c:v>
                </c:pt>
                <c:pt idx="160">
                  <c:v>80.034601194491032</c:v>
                </c:pt>
                <c:pt idx="161">
                  <c:v>80.034601194491032</c:v>
                </c:pt>
                <c:pt idx="162">
                  <c:v>80.034601194491032</c:v>
                </c:pt>
                <c:pt idx="163">
                  <c:v>80.034601194491032</c:v>
                </c:pt>
                <c:pt idx="164">
                  <c:v>80.034601194491032</c:v>
                </c:pt>
                <c:pt idx="165">
                  <c:v>80.034601194491032</c:v>
                </c:pt>
                <c:pt idx="166">
                  <c:v>80.034601194491032</c:v>
                </c:pt>
                <c:pt idx="167">
                  <c:v>80.034601194491032</c:v>
                </c:pt>
                <c:pt idx="168">
                  <c:v>80.034601194491032</c:v>
                </c:pt>
                <c:pt idx="169">
                  <c:v>80.034601194491032</c:v>
                </c:pt>
                <c:pt idx="170">
                  <c:v>80.034601194491032</c:v>
                </c:pt>
                <c:pt idx="171">
                  <c:v>80.034601194491032</c:v>
                </c:pt>
                <c:pt idx="172">
                  <c:v>80.034601194491032</c:v>
                </c:pt>
                <c:pt idx="173">
                  <c:v>80.034601194491032</c:v>
                </c:pt>
                <c:pt idx="174">
                  <c:v>80.034601194491032</c:v>
                </c:pt>
                <c:pt idx="175">
                  <c:v>80.034601194491032</c:v>
                </c:pt>
                <c:pt idx="176">
                  <c:v>80.034601194491032</c:v>
                </c:pt>
                <c:pt idx="177">
                  <c:v>80.034601194491032</c:v>
                </c:pt>
                <c:pt idx="178">
                  <c:v>80.034601194491032</c:v>
                </c:pt>
                <c:pt idx="179">
                  <c:v>80.034601194491032</c:v>
                </c:pt>
                <c:pt idx="180">
                  <c:v>80.034601194491032</c:v>
                </c:pt>
                <c:pt idx="181">
                  <c:v>80.034601194491032</c:v>
                </c:pt>
                <c:pt idx="182">
                  <c:v>80.034601194491032</c:v>
                </c:pt>
                <c:pt idx="183">
                  <c:v>80.034601194491032</c:v>
                </c:pt>
                <c:pt idx="184">
                  <c:v>80.034601194491032</c:v>
                </c:pt>
                <c:pt idx="185">
                  <c:v>80.034601194491032</c:v>
                </c:pt>
                <c:pt idx="186">
                  <c:v>80.034601194491032</c:v>
                </c:pt>
                <c:pt idx="187">
                  <c:v>80.034601194491032</c:v>
                </c:pt>
                <c:pt idx="188">
                  <c:v>80.034601194491032</c:v>
                </c:pt>
                <c:pt idx="189">
                  <c:v>80.034601194491032</c:v>
                </c:pt>
                <c:pt idx="190">
                  <c:v>80.034601194491032</c:v>
                </c:pt>
                <c:pt idx="191">
                  <c:v>80.034601194491032</c:v>
                </c:pt>
                <c:pt idx="192">
                  <c:v>80.034601194491032</c:v>
                </c:pt>
                <c:pt idx="193">
                  <c:v>80.034601194491032</c:v>
                </c:pt>
                <c:pt idx="194">
                  <c:v>80.034601194491032</c:v>
                </c:pt>
                <c:pt idx="195">
                  <c:v>80.034601194491032</c:v>
                </c:pt>
                <c:pt idx="196">
                  <c:v>80.034601194491032</c:v>
                </c:pt>
                <c:pt idx="197">
                  <c:v>80.034601194491032</c:v>
                </c:pt>
                <c:pt idx="198">
                  <c:v>80.034601194491032</c:v>
                </c:pt>
                <c:pt idx="199">
                  <c:v>80.034601194491032</c:v>
                </c:pt>
                <c:pt idx="200">
                  <c:v>80.034601194491032</c:v>
                </c:pt>
                <c:pt idx="201">
                  <c:v>80.034601194491032</c:v>
                </c:pt>
                <c:pt idx="202">
                  <c:v>80.034601194491032</c:v>
                </c:pt>
                <c:pt idx="203">
                  <c:v>80.034601194491032</c:v>
                </c:pt>
                <c:pt idx="204">
                  <c:v>80.034601194491032</c:v>
                </c:pt>
                <c:pt idx="205">
                  <c:v>80.034601194491032</c:v>
                </c:pt>
                <c:pt idx="206">
                  <c:v>80.034601194491032</c:v>
                </c:pt>
                <c:pt idx="207">
                  <c:v>80.034601194491032</c:v>
                </c:pt>
                <c:pt idx="208">
                  <c:v>80.034601194491032</c:v>
                </c:pt>
                <c:pt idx="209">
                  <c:v>80.034601194491032</c:v>
                </c:pt>
                <c:pt idx="210">
                  <c:v>80.034601194491032</c:v>
                </c:pt>
                <c:pt idx="211">
                  <c:v>80.034601194491032</c:v>
                </c:pt>
                <c:pt idx="212">
                  <c:v>80.034601194491032</c:v>
                </c:pt>
                <c:pt idx="213">
                  <c:v>80.034601194491032</c:v>
                </c:pt>
                <c:pt idx="214">
                  <c:v>80.034601194491032</c:v>
                </c:pt>
                <c:pt idx="215">
                  <c:v>80.034601194491032</c:v>
                </c:pt>
                <c:pt idx="216">
                  <c:v>80.034601194491032</c:v>
                </c:pt>
                <c:pt idx="217">
                  <c:v>80.034601194491032</c:v>
                </c:pt>
                <c:pt idx="218">
                  <c:v>80.034601194491032</c:v>
                </c:pt>
                <c:pt idx="219">
                  <c:v>80.034601194491032</c:v>
                </c:pt>
                <c:pt idx="220">
                  <c:v>80.034601194491032</c:v>
                </c:pt>
                <c:pt idx="221">
                  <c:v>80.034601194491032</c:v>
                </c:pt>
                <c:pt idx="222">
                  <c:v>80.034601194491032</c:v>
                </c:pt>
                <c:pt idx="223">
                  <c:v>80.034601194491032</c:v>
                </c:pt>
                <c:pt idx="224">
                  <c:v>80.034601194491032</c:v>
                </c:pt>
                <c:pt idx="225">
                  <c:v>80.034601194491032</c:v>
                </c:pt>
                <c:pt idx="226">
                  <c:v>80.034601194491032</c:v>
                </c:pt>
                <c:pt idx="227">
                  <c:v>80.034601194491032</c:v>
                </c:pt>
                <c:pt idx="228">
                  <c:v>80.034601194491032</c:v>
                </c:pt>
                <c:pt idx="229">
                  <c:v>80.034601194491032</c:v>
                </c:pt>
              </c:numCache>
            </c:numRef>
          </c:xVal>
          <c:yVal>
            <c:numRef>
              <c:f>Calculations!$X$6:$X$235</c:f>
              <c:numCache>
                <c:formatCode>General</c:formatCode>
                <c:ptCount val="230"/>
                <c:pt idx="1">
                  <c:v>11.447504465961586</c:v>
                </c:pt>
                <c:pt idx="2">
                  <c:v>22.019429147712142</c:v>
                </c:pt>
                <c:pt idx="3">
                  <c:v>31.8309573899447</c:v>
                </c:pt>
                <c:pt idx="4">
                  <c:v>40.974559096479354</c:v>
                </c:pt>
                <c:pt idx="5">
                  <c:v>49.525676226287921</c:v>
                </c:pt>
                <c:pt idx="6">
                  <c:v>57.546710132293164</c:v>
                </c:pt>
                <c:pt idx="7">
                  <c:v>65.089893309836157</c:v>
                </c:pt>
                <c:pt idx="8">
                  <c:v>72.199403637192972</c:v>
                </c:pt>
                <c:pt idx="9">
                  <c:v>78.912950718721476</c:v>
                </c:pt>
                <c:pt idx="10">
                  <c:v>85.262986092898018</c:v>
                </c:pt>
                <c:pt idx="11">
                  <c:v>91.277640186958749</c:v>
                </c:pt>
                <c:pt idx="12">
                  <c:v>96.981457316718206</c:v>
                </c:pt>
                <c:pt idx="13">
                  <c:v>102.39597911490013</c:v>
                </c:pt>
                <c:pt idx="14">
                  <c:v>107.54021261699444</c:v>
                </c:pt>
                <c:pt idx="15">
                  <c:v>112.43100946748513</c:v>
                </c:pt>
                <c:pt idx="16">
                  <c:v>117.08337585233016</c:v>
                </c:pt>
                <c:pt idx="17">
                  <c:v>121.51072787250568</c:v>
                </c:pt>
                <c:pt idx="18">
                  <c:v>125.72510353400708</c:v>
                </c:pt>
                <c:pt idx="19">
                  <c:v>129.73733993438961</c:v>
                </c:pt>
                <c:pt idx="20">
                  <c:v>133.55722229967381</c:v>
                </c:pt>
                <c:pt idx="21">
                  <c:v>137.19361007966376</c:v>
                </c:pt>
                <c:pt idx="22">
                  <c:v>140.65454421327019</c:v>
                </c:pt>
                <c:pt idx="23">
                  <c:v>143.94733883584763</c:v>
                </c:pt>
                <c:pt idx="24">
                  <c:v>147.07866005186844</c:v>
                </c:pt>
                <c:pt idx="25">
                  <c:v>150.05459389084416</c:v>
                </c:pt>
                <c:pt idx="26">
                  <c:v>152.8807051675152</c:v>
                </c:pt>
                <c:pt idx="27">
                  <c:v>155.5620886533527</c:v>
                </c:pt>
                <c:pt idx="28">
                  <c:v>158.10341371630059</c:v>
                </c:pt>
                <c:pt idx="29">
                  <c:v>160.50896338512931</c:v>
                </c:pt>
                <c:pt idx="30">
                  <c:v>162.78266863295494</c:v>
                </c:pt>
                <c:pt idx="31">
                  <c:v>164.92813854314414</c:v>
                </c:pt>
                <c:pt idx="32">
                  <c:v>166.94868691363172</c:v>
                </c:pt>
                <c:pt idx="33">
                  <c:v>168.84735576771777</c:v>
                </c:pt>
                <c:pt idx="34">
                  <c:v>170.62693616686016</c:v>
                </c:pt>
                <c:pt idx="35">
                  <c:v>172.28998666083723</c:v>
                </c:pt>
                <c:pt idx="36">
                  <c:v>173.83884966056382</c:v>
                </c:pt>
                <c:pt idx="37">
                  <c:v>175.27566597692072</c:v>
                </c:pt>
                <c:pt idx="38">
                  <c:v>176.60238773371151</c:v>
                </c:pt>
                <c:pt idx="39">
                  <c:v>177.82078983308858</c:v>
                </c:pt>
                <c:pt idx="40">
                  <c:v>178.93248012652538</c:v>
                </c:pt>
                <c:pt idx="41">
                  <c:v>179.93890842287021</c:v>
                </c:pt>
                <c:pt idx="42">
                  <c:v>180.84137444656179</c:v>
                </c:pt>
                <c:pt idx="43">
                  <c:v>181.64103484319614</c:v>
                </c:pt>
                <c:pt idx="44">
                  <c:v>182.33890931588692</c:v>
                </c:pt>
                <c:pt idx="45">
                  <c:v>182.93588596391882</c:v>
                </c:pt>
                <c:pt idx="46">
                  <c:v>183.43272588481321</c:v>
                </c:pt>
                <c:pt idx="47">
                  <c:v>183.83006709203076</c:v>
                </c:pt>
                <c:pt idx="48">
                  <c:v>184.12842779354239</c:v>
                </c:pt>
                <c:pt idx="49">
                  <c:v>184.32820907411099</c:v>
                </c:pt>
                <c:pt idx="50">
                  <c:v>184.42969704462709</c:v>
                </c:pt>
                <c:pt idx="51">
                  <c:v>184.43306477421163</c:v>
                </c:pt>
                <c:pt idx="52">
                  <c:v>184.33838128912097</c:v>
                </c:pt>
                <c:pt idx="53">
                  <c:v>184.14571015115405</c:v>
                </c:pt>
                <c:pt idx="54">
                  <c:v>183.85521601552057</c:v>
                </c:pt>
                <c:pt idx="55">
                  <c:v>183.46717423255012</c:v>
                </c:pt>
                <c:pt idx="56">
                  <c:v>182.98197027116129</c:v>
                </c:pt>
                <c:pt idx="57">
                  <c:v>182.40009825102499</c:v>
                </c:pt>
                <c:pt idx="58">
                  <c:v>181.72215894691359</c:v>
                </c:pt>
                <c:pt idx="59">
                  <c:v>180.9488573216795</c:v>
                </c:pt>
                <c:pt idx="60">
                  <c:v>180.08099961739521</c:v>
                </c:pt>
                <c:pt idx="61">
                  <c:v>179.11949003241534</c:v>
                </c:pt>
                <c:pt idx="62">
                  <c:v>178.06532701415659</c:v>
                </c:pt>
                <c:pt idx="63">
                  <c:v>176.91959919996617</c:v>
                </c:pt>
                <c:pt idx="64">
                  <c:v>175.6834810408333</c:v>
                </c:pt>
                <c:pt idx="65">
                  <c:v>174.35822814467875</c:v>
                </c:pt>
                <c:pt idx="66">
                  <c:v>172.94517237745865</c:v>
                </c:pt>
                <c:pt idx="67">
                  <c:v>171.44571676131534</c:v>
                </c:pt>
                <c:pt idx="68">
                  <c:v>169.86133020949413</c:v>
                </c:pt>
                <c:pt idx="69">
                  <c:v>168.193542137733</c:v>
                </c:pt>
                <c:pt idx="70">
                  <c:v>166.44393699134429</c:v>
                </c:pt>
                <c:pt idx="71">
                  <c:v>164.61414872627282</c:v>
                </c:pt>
                <c:pt idx="72">
                  <c:v>162.70585528107392</c:v>
                </c:pt>
                <c:pt idx="73">
                  <c:v>160.72077307504807</c:v>
                </c:pt>
                <c:pt idx="74">
                  <c:v>158.66065156574669</c:v>
                </c:pt>
                <c:pt idx="75">
                  <c:v>156.52726789677425</c:v>
                </c:pt>
                <c:pt idx="76">
                  <c:v>154.32242166430819</c:v>
                </c:pt>
                <c:pt idx="77">
                  <c:v>152.04792982809178</c:v>
                </c:pt>
                <c:pt idx="78">
                  <c:v>149.70562178987544</c:v>
                </c:pt>
                <c:pt idx="79">
                  <c:v>147.29733465943977</c:v>
                </c:pt>
                <c:pt idx="80">
                  <c:v>144.82490872547183</c:v>
                </c:pt>
                <c:pt idx="81">
                  <c:v>142.29018314572878</c:v>
                </c:pt>
                <c:pt idx="82">
                  <c:v>139.69499186814639</c:v>
                </c:pt>
                <c:pt idx="83">
                  <c:v>137.04115979186707</c:v>
                </c:pt>
                <c:pt idx="84">
                  <c:v>134.33049917460249</c:v>
                </c:pt>
                <c:pt idx="85">
                  <c:v>131.56480629033081</c:v>
                </c:pt>
                <c:pt idx="86">
                  <c:v>128.74585833907895</c:v>
                </c:pt>
                <c:pt idx="87">
                  <c:v>125.87541060846776</c:v>
                </c:pt>
                <c:pt idx="88">
                  <c:v>122.95519388481415</c:v>
                </c:pt>
                <c:pt idx="89">
                  <c:v>119.98691210989273</c:v>
                </c:pt>
                <c:pt idx="90">
                  <c:v>116.97224027796358</c:v>
                </c:pt>
                <c:pt idx="91">
                  <c:v>113.91282256637007</c:v>
                </c:pt>
                <c:pt idx="92">
                  <c:v>110.81027069189736</c:v>
                </c:pt>
                <c:pt idx="93">
                  <c:v>107.66616248415149</c:v>
                </c:pt>
                <c:pt idx="94">
                  <c:v>104.48204066646232</c:v>
                </c:pt>
                <c:pt idx="95">
                  <c:v>101.25941183422101</c:v>
                </c:pt>
                <c:pt idx="96">
                  <c:v>97.999745620122454</c:v>
                </c:pt>
                <c:pt idx="97">
                  <c:v>94.704474035484211</c:v>
                </c:pt>
                <c:pt idx="98">
                  <c:v>91.374990976642096</c:v>
                </c:pt>
                <c:pt idx="99">
                  <c:v>88.01265188536749</c:v>
                </c:pt>
                <c:pt idx="100">
                  <c:v>84.618773552299132</c:v>
                </c:pt>
                <c:pt idx="101">
                  <c:v>81.194634052521195</c:v>
                </c:pt>
                <c:pt idx="102">
                  <c:v>77.741472802638057</c:v>
                </c:pt>
                <c:pt idx="103">
                  <c:v>74.260490728983555</c:v>
                </c:pt>
                <c:pt idx="104">
                  <c:v>70.752850536949069</c:v>
                </c:pt>
                <c:pt idx="105">
                  <c:v>67.219677071812214</c:v>
                </c:pt>
                <c:pt idx="106">
                  <c:v>63.662057761888306</c:v>
                </c:pt>
                <c:pt idx="107">
                  <c:v>60.081043135306601</c:v>
                </c:pt>
                <c:pt idx="108">
                  <c:v>56.477647402228534</c:v>
                </c:pt>
                <c:pt idx="109">
                  <c:v>52.852849094878245</c:v>
                </c:pt>
                <c:pt idx="110">
                  <c:v>49.207591758352571</c:v>
                </c:pt>
                <c:pt idx="111">
                  <c:v>45.542784685834306</c:v>
                </c:pt>
                <c:pt idx="112">
                  <c:v>41.859303692578941</c:v>
                </c:pt>
                <c:pt idx="113">
                  <c:v>38.157991923937544</c:v>
                </c:pt>
                <c:pt idx="114">
                  <c:v>34.4396606938218</c:v>
                </c:pt>
                <c:pt idx="115">
                  <c:v>30.705090351611403</c:v>
                </c:pt>
                <c:pt idx="116">
                  <c:v>26.95503117794815</c:v>
                </c:pt>
                <c:pt idx="117">
                  <c:v>23.190204313995487</c:v>
                </c:pt>
                <c:pt idx="118">
                  <c:v>19.411302736475896</c:v>
                </c:pt>
                <c:pt idx="119">
                  <c:v>15.618992306879328</c:v>
                </c:pt>
                <c:pt idx="120">
                  <c:v>11.813912960987542</c:v>
                </c:pt>
                <c:pt idx="121">
                  <c:v>7.996680208249364</c:v>
                </c:pt>
                <c:pt idx="122">
                  <c:v>4.1678874632889826</c:v>
                </c:pt>
                <c:pt idx="123">
                  <c:v>0.32811147117929096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Burst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'Input data'!$N$10</c:f>
              <c:numCache>
                <c:formatCode>0.00</c:formatCode>
                <c:ptCount val="1"/>
                <c:pt idx="0">
                  <c:v>36.25021995687959</c:v>
                </c:pt>
              </c:numCache>
            </c:numRef>
          </c:xVal>
          <c:yVal>
            <c:numRef>
              <c:f>'Input data'!$N$12</c:f>
              <c:numCache>
                <c:formatCode>0.00</c:formatCode>
                <c:ptCount val="1"/>
                <c:pt idx="0">
                  <c:v>184.14571015115405</c:v>
                </c:pt>
              </c:numCache>
            </c:numRef>
          </c:yVal>
          <c:smooth val="1"/>
        </c:ser>
        <c:ser>
          <c:idx val="2"/>
          <c:order val="2"/>
          <c:tx>
            <c:v>Burst Diameter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Calculations'!$G$5:$G$25</c:f>
              <c:numCache>
                <c:formatCode>0.00</c:formatCode>
                <c:ptCount val="21"/>
                <c:pt idx="0">
                  <c:v>184.14571015115405</c:v>
                </c:pt>
                <c:pt idx="1">
                  <c:v>162.35121543345068</c:v>
                </c:pt>
                <c:pt idx="2">
                  <c:v>154.14571015115405</c:v>
                </c:pt>
                <c:pt idx="3">
                  <c:v>148.4385680084398</c:v>
                </c:pt>
                <c:pt idx="4">
                  <c:v>144.14571015115405</c:v>
                </c:pt>
                <c:pt idx="5">
                  <c:v>140.84443996193212</c:v>
                </c:pt>
                <c:pt idx="6">
                  <c:v>138.31995320159564</c:v>
                </c:pt>
                <c:pt idx="7">
                  <c:v>136.44875008030675</c:v>
                </c:pt>
                <c:pt idx="8">
                  <c:v>135.1559152954905</c:v>
                </c:pt>
                <c:pt idx="9">
                  <c:v>134.39633829582306</c:v>
                </c:pt>
                <c:pt idx="10">
                  <c:v>134.14571015115405</c:v>
                </c:pt>
                <c:pt idx="11">
                  <c:v>134.39633829582306</c:v>
                </c:pt>
                <c:pt idx="12">
                  <c:v>135.1559152954905</c:v>
                </c:pt>
                <c:pt idx="13">
                  <c:v>136.44875008030675</c:v>
                </c:pt>
                <c:pt idx="14">
                  <c:v>138.31995320159564</c:v>
                </c:pt>
                <c:pt idx="15">
                  <c:v>140.84443996193212</c:v>
                </c:pt>
                <c:pt idx="16">
                  <c:v>144.14571015115405</c:v>
                </c:pt>
                <c:pt idx="17">
                  <c:v>148.4385680084398</c:v>
                </c:pt>
                <c:pt idx="18">
                  <c:v>154.14571015115405</c:v>
                </c:pt>
                <c:pt idx="19">
                  <c:v>162.35121543345068</c:v>
                </c:pt>
                <c:pt idx="20">
                  <c:v>184.14571015115405</c:v>
                </c:pt>
              </c:numCache>
            </c:numRef>
          </c:yVal>
          <c:smooth val="0"/>
        </c:ser>
        <c:ser>
          <c:idx val="3"/>
          <c:order val="3"/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Calculations'!$H$5:$H$25</c:f>
              <c:numCache>
                <c:formatCode>0.00</c:formatCode>
                <c:ptCount val="21"/>
                <c:pt idx="0">
                  <c:v>184.14571015115405</c:v>
                </c:pt>
                <c:pt idx="1">
                  <c:v>205.94020486885742</c:v>
                </c:pt>
                <c:pt idx="2">
                  <c:v>214.14571015115405</c:v>
                </c:pt>
                <c:pt idx="3">
                  <c:v>219.8528522938683</c:v>
                </c:pt>
                <c:pt idx="4">
                  <c:v>224.14571015115405</c:v>
                </c:pt>
                <c:pt idx="5">
                  <c:v>227.44698034037597</c:v>
                </c:pt>
                <c:pt idx="6">
                  <c:v>229.97146710071246</c:v>
                </c:pt>
                <c:pt idx="7">
                  <c:v>231.84267022200135</c:v>
                </c:pt>
                <c:pt idx="8">
                  <c:v>233.1355050068176</c:v>
                </c:pt>
                <c:pt idx="9">
                  <c:v>233.89508200648504</c:v>
                </c:pt>
                <c:pt idx="10">
                  <c:v>234.14571015115405</c:v>
                </c:pt>
                <c:pt idx="11">
                  <c:v>233.89508200648504</c:v>
                </c:pt>
                <c:pt idx="12">
                  <c:v>233.1355050068176</c:v>
                </c:pt>
                <c:pt idx="13">
                  <c:v>231.84267022200135</c:v>
                </c:pt>
                <c:pt idx="14">
                  <c:v>229.97146710071246</c:v>
                </c:pt>
                <c:pt idx="15">
                  <c:v>227.44698034037597</c:v>
                </c:pt>
                <c:pt idx="16">
                  <c:v>224.14571015115405</c:v>
                </c:pt>
                <c:pt idx="17">
                  <c:v>219.8528522938683</c:v>
                </c:pt>
                <c:pt idx="18">
                  <c:v>214.14571015115405</c:v>
                </c:pt>
                <c:pt idx="19">
                  <c:v>205.94020486885742</c:v>
                </c:pt>
                <c:pt idx="20">
                  <c:v>184.14571015115405</c:v>
                </c:pt>
              </c:numCache>
            </c:numRef>
          </c:yVal>
          <c:smooth val="0"/>
        </c:ser>
        <c:ser>
          <c:idx val="4"/>
          <c:order val="4"/>
          <c:tx>
            <c:v>Fallout</c:v>
          </c:tx>
          <c:spPr>
            <a:ln w="38100">
              <a:solidFill>
                <a:srgbClr val="FF0000"/>
              </a:solidFill>
              <a:prstDash val="dash"/>
              <a:tailEnd type="stealth" w="lg" len="lg"/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9"/>
            <c:bubble3D val="0"/>
            <c:spPr>
              <a:ln w="38100">
                <a:solidFill>
                  <a:srgbClr val="FF0000"/>
                </a:solidFill>
                <a:prstDash val="dash"/>
                <a:tailEnd type="none" w="lg" len="lg"/>
              </a:ln>
            </c:spPr>
          </c:dPt>
          <c:dPt>
            <c:idx val="10"/>
            <c:bubble3D val="0"/>
          </c:dPt>
          <c:xVal>
            <c:numRef>
              <c:f>Fallout!$E$3:$E$13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44.192365714650634</c:v>
                </c:pt>
                <c:pt idx="2">
                  <c:v>52.134511472421678</c:v>
                </c:pt>
                <c:pt idx="3">
                  <c:v>60.076657230192723</c:v>
                </c:pt>
                <c:pt idx="4">
                  <c:v>68.018802987963767</c:v>
                </c:pt>
                <c:pt idx="5">
                  <c:v>75.960948745734811</c:v>
                </c:pt>
                <c:pt idx="6">
                  <c:v>83.903094503505855</c:v>
                </c:pt>
                <c:pt idx="7">
                  <c:v>91.845240261276885</c:v>
                </c:pt>
                <c:pt idx="8">
                  <c:v>99.787386019047943</c:v>
                </c:pt>
                <c:pt idx="9">
                  <c:v>107.72953177681897</c:v>
                </c:pt>
                <c:pt idx="10">
                  <c:v>115.67167753459002</c:v>
                </c:pt>
              </c:numCache>
            </c:numRef>
          </c:xVal>
          <c:yVal>
            <c:numRef>
              <c:f>Fallout!$G$3:$G$13</c:f>
              <c:numCache>
                <c:formatCode>0.00</c:formatCode>
                <c:ptCount val="11"/>
                <c:pt idx="0">
                  <c:v>184.14571015115405</c:v>
                </c:pt>
                <c:pt idx="1">
                  <c:v>180.46279594813097</c:v>
                </c:pt>
                <c:pt idx="2">
                  <c:v>178.62133884661944</c:v>
                </c:pt>
                <c:pt idx="3">
                  <c:v>174.93842464359633</c:v>
                </c:pt>
                <c:pt idx="4">
                  <c:v>165.73113913603865</c:v>
                </c:pt>
                <c:pt idx="5">
                  <c:v>138.10928261336554</c:v>
                </c:pt>
                <c:pt idx="6">
                  <c:v>110.48742609069242</c:v>
                </c:pt>
                <c:pt idx="7">
                  <c:v>82.865569568019311</c:v>
                </c:pt>
                <c:pt idx="8">
                  <c:v>55.243713045346226</c:v>
                </c:pt>
                <c:pt idx="9">
                  <c:v>27.621856522673113</c:v>
                </c:pt>
                <c:pt idx="10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wind</c:v>
          </c:tx>
          <c:marker>
            <c:symbol val="none"/>
          </c:marker>
          <c:xVal>
            <c:numRef>
              <c:f>Fallout!$S$37:$S$38</c:f>
              <c:numCache>
                <c:formatCode>General</c:formatCode>
                <c:ptCount val="2"/>
                <c:pt idx="0">
                  <c:v>0</c:v>
                </c:pt>
                <c:pt idx="1">
                  <c:v>62.083333333333186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6"/>
          <c:order val="6"/>
          <c:tx>
            <c:v>Long Burn</c:v>
          </c:tx>
          <c:spPr>
            <a:ln w="38100">
              <a:solidFill>
                <a:schemeClr val="accent6">
                  <a:lumMod val="75000"/>
                </a:schemeClr>
              </a:solidFill>
              <a:prstDash val="sysDot"/>
              <a:tailEnd type="stealth" w="lg" len="lg"/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2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3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4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5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6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7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8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9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ysDot"/>
                <a:tailEnd type="none" w="lg" len="lg"/>
              </a:ln>
            </c:spPr>
          </c:dPt>
          <c:dPt>
            <c:idx val="10"/>
            <c:bubble3D val="0"/>
          </c:dPt>
          <c:xVal>
            <c:numRef>
              <c:f>Fallout!$L$3:$L$13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52.134511472421678</c:v>
                </c:pt>
                <c:pt idx="2">
                  <c:v>68.018802987963767</c:v>
                </c:pt>
                <c:pt idx="3">
                  <c:v>83.903094503505855</c:v>
                </c:pt>
                <c:pt idx="4">
                  <c:v>99.787386019047943</c:v>
                </c:pt>
                <c:pt idx="5">
                  <c:v>115.67167753459002</c:v>
                </c:pt>
                <c:pt idx="6">
                  <c:v>131.55596905013209</c:v>
                </c:pt>
                <c:pt idx="7">
                  <c:v>147.44026056567418</c:v>
                </c:pt>
                <c:pt idx="8">
                  <c:v>163.32455208121627</c:v>
                </c:pt>
                <c:pt idx="9">
                  <c:v>179.20884359675836</c:v>
                </c:pt>
                <c:pt idx="10">
                  <c:v>195.09313511230044</c:v>
                </c:pt>
              </c:numCache>
            </c:numRef>
          </c:xVal>
          <c:yVal>
            <c:numRef>
              <c:f>Fallout!$N$3:$N$13</c:f>
              <c:numCache>
                <c:formatCode>0.00</c:formatCode>
                <c:ptCount val="11"/>
                <c:pt idx="0">
                  <c:v>184.14571015115405</c:v>
                </c:pt>
                <c:pt idx="1">
                  <c:v>180.46279594813097</c:v>
                </c:pt>
                <c:pt idx="2">
                  <c:v>178.62133884661944</c:v>
                </c:pt>
                <c:pt idx="3">
                  <c:v>174.93842464359633</c:v>
                </c:pt>
                <c:pt idx="4">
                  <c:v>165.73113913603865</c:v>
                </c:pt>
                <c:pt idx="5">
                  <c:v>138.10928261336554</c:v>
                </c:pt>
                <c:pt idx="6">
                  <c:v>110.48742609069242</c:v>
                </c:pt>
                <c:pt idx="7">
                  <c:v>82.865569568019311</c:v>
                </c:pt>
                <c:pt idx="8">
                  <c:v>55.243713045346226</c:v>
                </c:pt>
                <c:pt idx="9">
                  <c:v>27.621856522673113</c:v>
                </c:pt>
                <c:pt idx="10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GROUND LEVEL</c:v>
          </c:tx>
          <c:spPr>
            <a:ln w="190500" cap="flat">
              <a:gradFill>
                <a:gsLst>
                  <a:gs pos="0">
                    <a:schemeClr val="accent6">
                      <a:lumMod val="50000"/>
                    </a:schemeClr>
                  </a:gs>
                  <a:gs pos="100000">
                    <a:schemeClr val="accent1">
                      <a:lumMod val="40000"/>
                      <a:lumOff val="60000"/>
                    </a:schemeClr>
                  </a:gs>
                </a:gsLst>
                <a:lin ang="5400000" scaled="0"/>
              </a:gradFill>
            </a:ln>
          </c:spPr>
          <c:marker>
            <c:symbol val="none"/>
          </c:marker>
          <c:xVal>
            <c:numRef>
              <c:f>Fallout!$B$36:$B$37</c:f>
              <c:numCache>
                <c:formatCode>0.00</c:formatCode>
                <c:ptCount val="2"/>
                <c:pt idx="0" formatCode="General">
                  <c:v>-13.74978004312041</c:v>
                </c:pt>
                <c:pt idx="1">
                  <c:v>204.84779186791548</c:v>
                </c:pt>
              </c:numCache>
            </c:numRef>
          </c:xVal>
          <c:yVal>
            <c:numRef>
              <c:f>Fallout!$C$36:$C$37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87008"/>
        <c:axId val="94988928"/>
      </c:scatterChart>
      <c:valAx>
        <c:axId val="9498700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 algn="ctr" rtl="0">
                  <a:def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rPr>
                  <a:t>Downrange Carry  (x) [metres]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4988928"/>
        <c:crosses val="autoZero"/>
        <c:crossBetween val="midCat"/>
        <c:majorUnit val="20"/>
        <c:minorUnit val="10"/>
      </c:valAx>
      <c:valAx>
        <c:axId val="94988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 algn="ctr" rtl="0">
                  <a:def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rPr>
                  <a:t>Height (z)  [metres]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4987008"/>
        <c:crosses val="autoZero"/>
        <c:crossBetween val="midCat"/>
        <c:majorUnit val="50"/>
        <c:minorUnit val="10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overlay val="0"/>
      <c:spPr>
        <a:solidFill>
          <a:schemeClr val="accent1">
            <a:lumMod val="20000"/>
            <a:lumOff val="80000"/>
          </a:schemeClr>
        </a:solidFill>
        <a:ln w="19050"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GB" sz="1400" b="1" i="0" u="none" strike="noStrike" baseline="0">
                <a:solidFill>
                  <a:schemeClr val="accent4">
                    <a:lumMod val="75000"/>
                  </a:schemeClr>
                </a:solidFill>
                <a:latin typeface="Tahoma"/>
                <a:ea typeface="Tahoma"/>
                <a:cs typeface="Tahoma"/>
              </a:rPr>
              <a:t>Predicted Ground Track [x/y plot]</a:t>
            </a:r>
          </a:p>
        </c:rich>
      </c:tx>
      <c:layout>
        <c:manualLayout>
          <c:xMode val="edge"/>
          <c:yMode val="edge"/>
          <c:x val="4.2900661158240691E-2"/>
          <c:y val="8.9231340383333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57463412823215E-2"/>
          <c:y val="0.15755713999728158"/>
          <c:w val="0.88135654729745749"/>
          <c:h val="0.54321635011848568"/>
        </c:manualLayout>
      </c:layout>
      <c:scatterChart>
        <c:scatterStyle val="smoothMarker"/>
        <c:varyColors val="0"/>
        <c:ser>
          <c:idx val="2"/>
          <c:order val="0"/>
          <c:tx>
            <c:v>Wind Direction/Strength</c:v>
          </c:tx>
          <c:spPr>
            <a:ln w="38100">
              <a:solidFill>
                <a:srgbClr val="08B000"/>
              </a:solidFill>
              <a:prstDash val="solid"/>
              <a:tailEnd type="stealth" w="lg" len="lg"/>
            </a:ln>
          </c:spPr>
          <c:marker>
            <c:symbol val="none"/>
          </c:marker>
          <c:dPt>
            <c:idx val="1"/>
            <c:bubble3D val="0"/>
            <c:spPr>
              <a:ln w="38100" cmpd="sng">
                <a:solidFill>
                  <a:srgbClr val="08B000"/>
                </a:solidFill>
                <a:prstDash val="solid"/>
                <a:tailEnd type="stealth" w="lg" len="lg"/>
              </a:ln>
            </c:spPr>
          </c:dPt>
          <c:xVal>
            <c:numRef>
              <c:f>Fallout!$S$37:$S$38</c:f>
              <c:numCache>
                <c:formatCode>General</c:formatCode>
                <c:ptCount val="2"/>
                <c:pt idx="0">
                  <c:v>0</c:v>
                </c:pt>
                <c:pt idx="1">
                  <c:v>62.083333333333186</c:v>
                </c:pt>
              </c:numCache>
            </c:numRef>
          </c:xVal>
          <c:yVal>
            <c:numRef>
              <c:f>Fallout!$R$37:$R$38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0"/>
          <c:order val="1"/>
          <c:tx>
            <c:v>Ground Track/Trajectory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Calculations!$V$6:$V$235</c:f>
              <c:numCache>
                <c:formatCode>General</c:formatCode>
                <c:ptCount val="230"/>
                <c:pt idx="1">
                  <c:v>0.83430085021526412</c:v>
                </c:pt>
                <c:pt idx="2">
                  <c:v>1.6440370284333325</c:v>
                </c:pt>
                <c:pt idx="3">
                  <c:v>2.4343162198293022</c:v>
                </c:pt>
                <c:pt idx="4">
                  <c:v>3.2085776583110484</c:v>
                </c:pt>
                <c:pt idx="5">
                  <c:v>3.9693662930330555</c:v>
                </c:pt>
                <c:pt idx="6">
                  <c:v>4.7186518907565702</c:v>
                </c:pt>
                <c:pt idx="7">
                  <c:v>5.4580027106806881</c:v>
                </c:pt>
                <c:pt idx="8">
                  <c:v>6.1886929997367002</c:v>
                </c:pt>
                <c:pt idx="9">
                  <c:v>6.9117746203368799</c:v>
                </c:pt>
                <c:pt idx="10">
                  <c:v>7.6281271406179183</c:v>
                </c:pt>
                <c:pt idx="11">
                  <c:v>8.3384940974229593</c:v>
                </c:pt>
                <c:pt idx="12">
                  <c:v>9.043509952910691</c:v>
                </c:pt>
                <c:pt idx="13">
                  <c:v>9.7437205619296741</c:v>
                </c:pt>
                <c:pt idx="14">
                  <c:v>10.439598987056222</c:v>
                </c:pt>
                <c:pt idx="15">
                  <c:v>11.131557901992462</c:v>
                </c:pt>
                <c:pt idx="16">
                  <c:v>11.819959445418144</c:v>
                </c:pt>
                <c:pt idx="17">
                  <c:v>12.505123138525333</c:v>
                </c:pt>
                <c:pt idx="18">
                  <c:v>13.187332311177888</c:v>
                </c:pt>
                <c:pt idx="19">
                  <c:v>13.86683936509748</c:v>
                </c:pt>
                <c:pt idx="20">
                  <c:v>14.543870120113343</c:v>
                </c:pt>
                <c:pt idx="21">
                  <c:v>15.218627430263341</c:v>
                </c:pt>
                <c:pt idx="22">
                  <c:v>15.891294213243674</c:v>
                </c:pt>
                <c:pt idx="23">
                  <c:v>16.562036004633821</c:v>
                </c:pt>
                <c:pt idx="24">
                  <c:v>17.231003124267001</c:v>
                </c:pt>
                <c:pt idx="25">
                  <c:v>17.89833252386741</c:v>
                </c:pt>
                <c:pt idx="26">
                  <c:v>18.56414937108929</c:v>
                </c:pt>
                <c:pt idx="27">
                  <c:v>19.22856841427231</c:v>
                </c:pt>
                <c:pt idx="28">
                  <c:v>19.891695163783638</c:v>
                </c:pt>
                <c:pt idx="29">
                  <c:v>20.55362691917454</c:v>
                </c:pt>
                <c:pt idx="30">
                  <c:v>21.21445366611491</c:v>
                </c:pt>
                <c:pt idx="31">
                  <c:v>21.87425886286799</c:v>
                </c:pt>
                <c:pt idx="32">
                  <c:v>22.533120132693014</c:v>
                </c:pt>
                <c:pt idx="33">
                  <c:v>23.191109875836386</c:v>
                </c:pt>
                <c:pt idx="34">
                  <c:v>23.848295812555328</c:v>
                </c:pt>
                <c:pt idx="35">
                  <c:v>24.50474146680595</c:v>
                </c:pt>
                <c:pt idx="36">
                  <c:v>25.160506598738376</c:v>
                </c:pt>
                <c:pt idx="37">
                  <c:v>25.81564759291037</c:v>
                </c:pt>
                <c:pt idx="38">
                  <c:v>26.470217808106241</c:v>
                </c:pt>
                <c:pt idx="39">
                  <c:v>27.124267893787867</c:v>
                </c:pt>
                <c:pt idx="40">
                  <c:v>27.777846077473527</c:v>
                </c:pt>
                <c:pt idx="41">
                  <c:v>28.430998426704864</c:v>
                </c:pt>
                <c:pt idx="42">
                  <c:v>29.083769088687369</c:v>
                </c:pt>
                <c:pt idx="43">
                  <c:v>29.736200510128661</c:v>
                </c:pt>
                <c:pt idx="44">
                  <c:v>30.388333639174366</c:v>
                </c:pt>
                <c:pt idx="45">
                  <c:v>31.040208110497453</c:v>
                </c:pt>
                <c:pt idx="46">
                  <c:v>31.691862413166792</c:v>
                </c:pt>
                <c:pt idx="47">
                  <c:v>32.343334037912392</c:v>
                </c:pt>
                <c:pt idx="48">
                  <c:v>32.994659592704046</c:v>
                </c:pt>
                <c:pt idx="49">
                  <c:v>33.645874851301286</c:v>
                </c:pt>
                <c:pt idx="50">
                  <c:v>34.297014599113979</c:v>
                </c:pt>
                <c:pt idx="51">
                  <c:v>34.948111503479211</c:v>
                </c:pt>
                <c:pt idx="52">
                  <c:v>35.599186096513421</c:v>
                </c:pt>
                <c:pt idx="53">
                  <c:v>36.25021995687959</c:v>
                </c:pt>
                <c:pt idx="54">
                  <c:v>36.901180931337379</c:v>
                </c:pt>
                <c:pt idx="55">
                  <c:v>37.552034934952395</c:v>
                </c:pt>
                <c:pt idx="56">
                  <c:v>38.202747448126772</c:v>
                </c:pt>
                <c:pt idx="57">
                  <c:v>38.85328390569304</c:v>
                </c:pt>
                <c:pt idx="58">
                  <c:v>39.503609868477994</c:v>
                </c:pt>
                <c:pt idx="59">
                  <c:v>40.153691128574877</c:v>
                </c:pt>
                <c:pt idx="60">
                  <c:v>40.803493787790906</c:v>
                </c:pt>
                <c:pt idx="61">
                  <c:v>41.452984322466008</c:v>
                </c:pt>
                <c:pt idx="62">
                  <c:v>42.102129639797944</c:v>
                </c:pt>
                <c:pt idx="63">
                  <c:v>42.750897127859794</c:v>
                </c:pt>
                <c:pt idx="64">
                  <c:v>43.399254700278668</c:v>
                </c:pt>
                <c:pt idx="65">
                  <c:v>44.047170836000298</c:v>
                </c:pt>
                <c:pt idx="66">
                  <c:v>44.694614614310808</c:v>
                </c:pt>
                <c:pt idx="67">
                  <c:v>45.341555745169835</c:v>
                </c:pt>
                <c:pt idx="68">
                  <c:v>45.987964594859974</c:v>
                </c:pt>
                <c:pt idx="69">
                  <c:v>46.633812206943958</c:v>
                </c:pt>
                <c:pt idx="70">
                  <c:v>47.279070318525882</c:v>
                </c:pt>
                <c:pt idx="71">
                  <c:v>47.923711371828041</c:v>
                </c:pt>
                <c:pt idx="72">
                  <c:v>48.567708521114284</c:v>
                </c:pt>
                <c:pt idx="73">
                  <c:v>49.211035635012117</c:v>
                </c:pt>
                <c:pt idx="74">
                  <c:v>49.853667294306391</c:v>
                </c:pt>
                <c:pt idx="75">
                  <c:v>50.495578785296367</c:v>
                </c:pt>
                <c:pt idx="76">
                  <c:v>51.13674608882426</c:v>
                </c:pt>
                <c:pt idx="77">
                  <c:v>51.7771458650965</c:v>
                </c:pt>
                <c:pt idx="78">
                  <c:v>52.416755434428303</c:v>
                </c:pt>
                <c:pt idx="79">
                  <c:v>53.05555275404771</c:v>
                </c:pt>
                <c:pt idx="80">
                  <c:v>53.693516391096644</c:v>
                </c:pt>
                <c:pt idx="81">
                  <c:v>54.330625491963566</c:v>
                </c:pt>
                <c:pt idx="82">
                  <c:v>54.966859748075173</c:v>
                </c:pt>
                <c:pt idx="83">
                  <c:v>55.602199358262681</c:v>
                </c:pt>
                <c:pt idx="84">
                  <c:v>56.236624987802145</c:v>
                </c:pt>
                <c:pt idx="85">
                  <c:v>56.870117724207105</c:v>
                </c:pt>
                <c:pt idx="86">
                  <c:v>57.50265902982612</c:v>
                </c:pt>
                <c:pt idx="87">
                  <c:v>58.134230691266559</c:v>
                </c:pt>
                <c:pt idx="88">
                  <c:v>58.764814765629566</c:v>
                </c:pt>
                <c:pt idx="89">
                  <c:v>59.394393523498302</c:v>
                </c:pt>
                <c:pt idx="90">
                  <c:v>60.022949388572165</c:v>
                </c:pt>
                <c:pt idx="91">
                  <c:v>60.65046487378234</c:v>
                </c:pt>
                <c:pt idx="92">
                  <c:v>61.27692251365761</c:v>
                </c:pt>
                <c:pt idx="93">
                  <c:v>61.902304792632179</c:v>
                </c:pt>
                <c:pt idx="94">
                  <c:v>62.526594068897104</c:v>
                </c:pt>
                <c:pt idx="95">
                  <c:v>63.149772493290712</c:v>
                </c:pt>
                <c:pt idx="96">
                  <c:v>63.771821922597681</c:v>
                </c:pt>
                <c:pt idx="97">
                  <c:v>64.392723826476001</c:v>
                </c:pt>
                <c:pt idx="98">
                  <c:v>65.012459187049444</c:v>
                </c:pt>
                <c:pt idx="99">
                  <c:v>65.631008389982128</c:v>
                </c:pt>
                <c:pt idx="100">
                  <c:v>66.248351105579275</c:v>
                </c:pt>
                <c:pt idx="101">
                  <c:v>66.864466158119569</c:v>
                </c:pt>
                <c:pt idx="102">
                  <c:v>67.479331381198691</c:v>
                </c:pt>
                <c:pt idx="103">
                  <c:v>68.092923456321657</c:v>
                </c:pt>
                <c:pt idx="104">
                  <c:v>68.705217731284648</c:v>
                </c:pt>
                <c:pt idx="105">
                  <c:v>69.316188013978532</c:v>
                </c:pt>
                <c:pt idx="106">
                  <c:v>69.925806336047046</c:v>
                </c:pt>
                <c:pt idx="107">
                  <c:v>70.534042679226246</c:v>
                </c:pt>
                <c:pt idx="108">
                  <c:v>71.140864655007135</c:v>
                </c:pt>
                <c:pt idx="109">
                  <c:v>71.74623712524054</c:v>
                </c:pt>
                <c:pt idx="110">
                  <c:v>72.350121747042991</c:v>
                </c:pt>
                <c:pt idx="111">
                  <c:v>72.952476419228816</c:v>
                </c:pt>
                <c:pt idx="112">
                  <c:v>73.553254598454885</c:v>
                </c:pt>
                <c:pt idx="113">
                  <c:v>74.152404439579499</c:v>
                </c:pt>
                <c:pt idx="114">
                  <c:v>74.749867693369424</c:v>
                </c:pt>
                <c:pt idx="115">
                  <c:v>75.345578260101732</c:v>
                </c:pt>
                <c:pt idx="116">
                  <c:v>75.939460239192741</c:v>
                </c:pt>
                <c:pt idx="117">
                  <c:v>76.53142521116213</c:v>
                </c:pt>
                <c:pt idx="118">
                  <c:v>77.121368291792621</c:v>
                </c:pt>
                <c:pt idx="119">
                  <c:v>77.709162096189715</c:v>
                </c:pt>
                <c:pt idx="120">
                  <c:v>78.294646838252078</c:v>
                </c:pt>
                <c:pt idx="121">
                  <c:v>78.877612410359504</c:v>
                </c:pt>
                <c:pt idx="122">
                  <c:v>79.457760647200004</c:v>
                </c:pt>
                <c:pt idx="123">
                  <c:v>80.034601194491032</c:v>
                </c:pt>
                <c:pt idx="124">
                  <c:v>80.034601194491032</c:v>
                </c:pt>
                <c:pt idx="125">
                  <c:v>80.034601194491032</c:v>
                </c:pt>
                <c:pt idx="126">
                  <c:v>80.034601194491032</c:v>
                </c:pt>
                <c:pt idx="127">
                  <c:v>80.034601194491032</c:v>
                </c:pt>
                <c:pt idx="128">
                  <c:v>80.034601194491032</c:v>
                </c:pt>
                <c:pt idx="129">
                  <c:v>80.034601194491032</c:v>
                </c:pt>
                <c:pt idx="130">
                  <c:v>80.034601194491032</c:v>
                </c:pt>
                <c:pt idx="131">
                  <c:v>80.034601194491032</c:v>
                </c:pt>
                <c:pt idx="132">
                  <c:v>80.034601194491032</c:v>
                </c:pt>
                <c:pt idx="133">
                  <c:v>80.034601194491032</c:v>
                </c:pt>
                <c:pt idx="134">
                  <c:v>80.034601194491032</c:v>
                </c:pt>
                <c:pt idx="135">
                  <c:v>80.034601194491032</c:v>
                </c:pt>
                <c:pt idx="136">
                  <c:v>80.034601194491032</c:v>
                </c:pt>
                <c:pt idx="137">
                  <c:v>80.034601194491032</c:v>
                </c:pt>
                <c:pt idx="138">
                  <c:v>80.034601194491032</c:v>
                </c:pt>
                <c:pt idx="139">
                  <c:v>80.034601194491032</c:v>
                </c:pt>
                <c:pt idx="140">
                  <c:v>80.034601194491032</c:v>
                </c:pt>
                <c:pt idx="141">
                  <c:v>80.034601194491032</c:v>
                </c:pt>
                <c:pt idx="142">
                  <c:v>80.034601194491032</c:v>
                </c:pt>
                <c:pt idx="143">
                  <c:v>80.034601194491032</c:v>
                </c:pt>
                <c:pt idx="144">
                  <c:v>80.034601194491032</c:v>
                </c:pt>
                <c:pt idx="145">
                  <c:v>80.034601194491032</c:v>
                </c:pt>
                <c:pt idx="146">
                  <c:v>80.034601194491032</c:v>
                </c:pt>
                <c:pt idx="147">
                  <c:v>80.034601194491032</c:v>
                </c:pt>
                <c:pt idx="148">
                  <c:v>80.034601194491032</c:v>
                </c:pt>
                <c:pt idx="149">
                  <c:v>80.034601194491032</c:v>
                </c:pt>
                <c:pt idx="150">
                  <c:v>80.034601194491032</c:v>
                </c:pt>
                <c:pt idx="151">
                  <c:v>80.034601194491032</c:v>
                </c:pt>
                <c:pt idx="152">
                  <c:v>80.034601194491032</c:v>
                </c:pt>
                <c:pt idx="153">
                  <c:v>80.034601194491032</c:v>
                </c:pt>
                <c:pt idx="154">
                  <c:v>80.034601194491032</c:v>
                </c:pt>
                <c:pt idx="155">
                  <c:v>80.034601194491032</c:v>
                </c:pt>
                <c:pt idx="156">
                  <c:v>80.034601194491032</c:v>
                </c:pt>
                <c:pt idx="157">
                  <c:v>80.034601194491032</c:v>
                </c:pt>
                <c:pt idx="158">
                  <c:v>80.034601194491032</c:v>
                </c:pt>
                <c:pt idx="159">
                  <c:v>80.034601194491032</c:v>
                </c:pt>
                <c:pt idx="160">
                  <c:v>80.034601194491032</c:v>
                </c:pt>
                <c:pt idx="161">
                  <c:v>80.034601194491032</c:v>
                </c:pt>
                <c:pt idx="162">
                  <c:v>80.034601194491032</c:v>
                </c:pt>
                <c:pt idx="163">
                  <c:v>80.034601194491032</c:v>
                </c:pt>
                <c:pt idx="164">
                  <c:v>80.034601194491032</c:v>
                </c:pt>
                <c:pt idx="165">
                  <c:v>80.034601194491032</c:v>
                </c:pt>
                <c:pt idx="166">
                  <c:v>80.034601194491032</c:v>
                </c:pt>
                <c:pt idx="167">
                  <c:v>80.034601194491032</c:v>
                </c:pt>
                <c:pt idx="168">
                  <c:v>80.034601194491032</c:v>
                </c:pt>
                <c:pt idx="169">
                  <c:v>80.034601194491032</c:v>
                </c:pt>
                <c:pt idx="170">
                  <c:v>80.034601194491032</c:v>
                </c:pt>
                <c:pt idx="171">
                  <c:v>80.034601194491032</c:v>
                </c:pt>
                <c:pt idx="172">
                  <c:v>80.034601194491032</c:v>
                </c:pt>
                <c:pt idx="173">
                  <c:v>80.034601194491032</c:v>
                </c:pt>
                <c:pt idx="174">
                  <c:v>80.034601194491032</c:v>
                </c:pt>
                <c:pt idx="175">
                  <c:v>80.034601194491032</c:v>
                </c:pt>
                <c:pt idx="176">
                  <c:v>80.034601194491032</c:v>
                </c:pt>
                <c:pt idx="177">
                  <c:v>80.034601194491032</c:v>
                </c:pt>
                <c:pt idx="178">
                  <c:v>80.034601194491032</c:v>
                </c:pt>
                <c:pt idx="179">
                  <c:v>80.034601194491032</c:v>
                </c:pt>
                <c:pt idx="180">
                  <c:v>80.034601194491032</c:v>
                </c:pt>
                <c:pt idx="181">
                  <c:v>80.034601194491032</c:v>
                </c:pt>
                <c:pt idx="182">
                  <c:v>80.034601194491032</c:v>
                </c:pt>
                <c:pt idx="183">
                  <c:v>80.034601194491032</c:v>
                </c:pt>
                <c:pt idx="184">
                  <c:v>80.034601194491032</c:v>
                </c:pt>
                <c:pt idx="185">
                  <c:v>80.034601194491032</c:v>
                </c:pt>
                <c:pt idx="186">
                  <c:v>80.034601194491032</c:v>
                </c:pt>
                <c:pt idx="187">
                  <c:v>80.034601194491032</c:v>
                </c:pt>
                <c:pt idx="188">
                  <c:v>80.034601194491032</c:v>
                </c:pt>
                <c:pt idx="189">
                  <c:v>80.034601194491032</c:v>
                </c:pt>
                <c:pt idx="190">
                  <c:v>80.034601194491032</c:v>
                </c:pt>
                <c:pt idx="191">
                  <c:v>80.034601194491032</c:v>
                </c:pt>
                <c:pt idx="192">
                  <c:v>80.034601194491032</c:v>
                </c:pt>
                <c:pt idx="193">
                  <c:v>80.034601194491032</c:v>
                </c:pt>
                <c:pt idx="194">
                  <c:v>80.034601194491032</c:v>
                </c:pt>
                <c:pt idx="195">
                  <c:v>80.034601194491032</c:v>
                </c:pt>
                <c:pt idx="196">
                  <c:v>80.034601194491032</c:v>
                </c:pt>
                <c:pt idx="197">
                  <c:v>80.034601194491032</c:v>
                </c:pt>
                <c:pt idx="198">
                  <c:v>80.034601194491032</c:v>
                </c:pt>
                <c:pt idx="199">
                  <c:v>80.034601194491032</c:v>
                </c:pt>
                <c:pt idx="200">
                  <c:v>80.034601194491032</c:v>
                </c:pt>
                <c:pt idx="201">
                  <c:v>80.034601194491032</c:v>
                </c:pt>
                <c:pt idx="202">
                  <c:v>80.034601194491032</c:v>
                </c:pt>
                <c:pt idx="203">
                  <c:v>80.034601194491032</c:v>
                </c:pt>
                <c:pt idx="204">
                  <c:v>80.034601194491032</c:v>
                </c:pt>
                <c:pt idx="205">
                  <c:v>80.034601194491032</c:v>
                </c:pt>
                <c:pt idx="206">
                  <c:v>80.034601194491032</c:v>
                </c:pt>
                <c:pt idx="207">
                  <c:v>80.034601194491032</c:v>
                </c:pt>
                <c:pt idx="208">
                  <c:v>80.034601194491032</c:v>
                </c:pt>
                <c:pt idx="209">
                  <c:v>80.034601194491032</c:v>
                </c:pt>
                <c:pt idx="210">
                  <c:v>80.034601194491032</c:v>
                </c:pt>
                <c:pt idx="211">
                  <c:v>80.034601194491032</c:v>
                </c:pt>
                <c:pt idx="212">
                  <c:v>80.034601194491032</c:v>
                </c:pt>
                <c:pt idx="213">
                  <c:v>80.034601194491032</c:v>
                </c:pt>
                <c:pt idx="214">
                  <c:v>80.034601194491032</c:v>
                </c:pt>
                <c:pt idx="215">
                  <c:v>80.034601194491032</c:v>
                </c:pt>
                <c:pt idx="216">
                  <c:v>80.034601194491032</c:v>
                </c:pt>
                <c:pt idx="217">
                  <c:v>80.034601194491032</c:v>
                </c:pt>
                <c:pt idx="218">
                  <c:v>80.034601194491032</c:v>
                </c:pt>
                <c:pt idx="219">
                  <c:v>80.034601194491032</c:v>
                </c:pt>
                <c:pt idx="220">
                  <c:v>80.034601194491032</c:v>
                </c:pt>
                <c:pt idx="221">
                  <c:v>80.034601194491032</c:v>
                </c:pt>
                <c:pt idx="222">
                  <c:v>80.034601194491032</c:v>
                </c:pt>
                <c:pt idx="223">
                  <c:v>80.034601194491032</c:v>
                </c:pt>
                <c:pt idx="224">
                  <c:v>80.034601194491032</c:v>
                </c:pt>
                <c:pt idx="225">
                  <c:v>80.034601194491032</c:v>
                </c:pt>
                <c:pt idx="226">
                  <c:v>80.034601194491032</c:v>
                </c:pt>
                <c:pt idx="227">
                  <c:v>80.034601194491032</c:v>
                </c:pt>
                <c:pt idx="228">
                  <c:v>80.034601194491032</c:v>
                </c:pt>
                <c:pt idx="229">
                  <c:v>80.034601194491032</c:v>
                </c:pt>
              </c:numCache>
            </c:numRef>
          </c:xVal>
          <c:yVal>
            <c:numRef>
              <c:f>Calculations!$W$6:$W$235</c:f>
              <c:numCache>
                <c:formatCode>General</c:formatCode>
                <c:ptCount val="2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v>Burst position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'Input data'!$N$10</c:f>
              <c:numCache>
                <c:formatCode>0.00</c:formatCode>
                <c:ptCount val="1"/>
                <c:pt idx="0">
                  <c:v>36.25021995687959</c:v>
                </c:pt>
              </c:numCache>
            </c:numRef>
          </c:xVal>
          <c:yVal>
            <c:numRef>
              <c:f>'Input data'!$N$11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Burst Diameter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Calculations'!$E$5:$E$25</c:f>
              <c:numCache>
                <c:formatCode>0.00</c:formatCode>
                <c:ptCount val="21"/>
                <c:pt idx="0">
                  <c:v>0</c:v>
                </c:pt>
                <c:pt idx="1">
                  <c:v>-21.794494717703369</c:v>
                </c:pt>
                <c:pt idx="2">
                  <c:v>-30</c:v>
                </c:pt>
                <c:pt idx="3">
                  <c:v>-35.707142142714247</c:v>
                </c:pt>
                <c:pt idx="4">
                  <c:v>-40</c:v>
                </c:pt>
                <c:pt idx="5">
                  <c:v>-43.301270189221931</c:v>
                </c:pt>
                <c:pt idx="6">
                  <c:v>-45.825756949558397</c:v>
                </c:pt>
                <c:pt idx="7">
                  <c:v>-47.696960070847283</c:v>
                </c:pt>
                <c:pt idx="8">
                  <c:v>-48.989794855663561</c:v>
                </c:pt>
                <c:pt idx="9">
                  <c:v>-49.749371855330999</c:v>
                </c:pt>
                <c:pt idx="10">
                  <c:v>-50</c:v>
                </c:pt>
                <c:pt idx="11">
                  <c:v>-49.749371855330999</c:v>
                </c:pt>
                <c:pt idx="12">
                  <c:v>-48.989794855663561</c:v>
                </c:pt>
                <c:pt idx="13">
                  <c:v>-47.696960070847283</c:v>
                </c:pt>
                <c:pt idx="14">
                  <c:v>-45.825756949558397</c:v>
                </c:pt>
                <c:pt idx="15">
                  <c:v>-43.301270189221931</c:v>
                </c:pt>
                <c:pt idx="16">
                  <c:v>-40</c:v>
                </c:pt>
                <c:pt idx="17">
                  <c:v>-35.707142142714247</c:v>
                </c:pt>
                <c:pt idx="18">
                  <c:v>-30</c:v>
                </c:pt>
                <c:pt idx="19">
                  <c:v>-21.794494717703369</c:v>
                </c:pt>
                <c:pt idx="20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'Burst Calculations'!$D$5:$D$25</c:f>
              <c:numCache>
                <c:formatCode>General</c:formatCode>
                <c:ptCount val="21"/>
                <c:pt idx="0">
                  <c:v>-13.74978004312041</c:v>
                </c:pt>
                <c:pt idx="1">
                  <c:v>-8.7497800431204098</c:v>
                </c:pt>
                <c:pt idx="2">
                  <c:v>-3.7497800431204098</c:v>
                </c:pt>
                <c:pt idx="3">
                  <c:v>1.2502199568795902</c:v>
                </c:pt>
                <c:pt idx="4">
                  <c:v>6.2502199568795902</c:v>
                </c:pt>
                <c:pt idx="5">
                  <c:v>11.25021995687959</c:v>
                </c:pt>
                <c:pt idx="6">
                  <c:v>16.25021995687959</c:v>
                </c:pt>
                <c:pt idx="7">
                  <c:v>21.25021995687959</c:v>
                </c:pt>
                <c:pt idx="8">
                  <c:v>26.25021995687959</c:v>
                </c:pt>
                <c:pt idx="9">
                  <c:v>31.25021995687959</c:v>
                </c:pt>
                <c:pt idx="10">
                  <c:v>36.25021995687959</c:v>
                </c:pt>
                <c:pt idx="11">
                  <c:v>41.25021995687959</c:v>
                </c:pt>
                <c:pt idx="12">
                  <c:v>46.25021995687959</c:v>
                </c:pt>
                <c:pt idx="13">
                  <c:v>51.25021995687959</c:v>
                </c:pt>
                <c:pt idx="14">
                  <c:v>56.25021995687959</c:v>
                </c:pt>
                <c:pt idx="15">
                  <c:v>61.25021995687959</c:v>
                </c:pt>
                <c:pt idx="16">
                  <c:v>66.25021995687959</c:v>
                </c:pt>
                <c:pt idx="17">
                  <c:v>71.25021995687959</c:v>
                </c:pt>
                <c:pt idx="18">
                  <c:v>76.25021995687959</c:v>
                </c:pt>
                <c:pt idx="19">
                  <c:v>81.25021995687959</c:v>
                </c:pt>
                <c:pt idx="20">
                  <c:v>86.25021995687959</c:v>
                </c:pt>
              </c:numCache>
            </c:numRef>
          </c:xVal>
          <c:yVal>
            <c:numRef>
              <c:f>'Burst Calculations'!$F$5:$F$25</c:f>
              <c:numCache>
                <c:formatCode>0.00</c:formatCode>
                <c:ptCount val="21"/>
                <c:pt idx="0">
                  <c:v>0</c:v>
                </c:pt>
                <c:pt idx="1">
                  <c:v>21.794494717703369</c:v>
                </c:pt>
                <c:pt idx="2">
                  <c:v>30</c:v>
                </c:pt>
                <c:pt idx="3">
                  <c:v>35.707142142714247</c:v>
                </c:pt>
                <c:pt idx="4">
                  <c:v>40</c:v>
                </c:pt>
                <c:pt idx="5">
                  <c:v>43.301270189221931</c:v>
                </c:pt>
                <c:pt idx="6">
                  <c:v>45.825756949558397</c:v>
                </c:pt>
                <c:pt idx="7">
                  <c:v>47.696960070847283</c:v>
                </c:pt>
                <c:pt idx="8">
                  <c:v>48.989794855663561</c:v>
                </c:pt>
                <c:pt idx="9">
                  <c:v>49.749371855330999</c:v>
                </c:pt>
                <c:pt idx="10">
                  <c:v>50</c:v>
                </c:pt>
                <c:pt idx="11">
                  <c:v>49.749371855330999</c:v>
                </c:pt>
                <c:pt idx="12">
                  <c:v>48.989794855663561</c:v>
                </c:pt>
                <c:pt idx="13">
                  <c:v>47.696960070847283</c:v>
                </c:pt>
                <c:pt idx="14">
                  <c:v>45.825756949558397</c:v>
                </c:pt>
                <c:pt idx="15">
                  <c:v>43.301270189221931</c:v>
                </c:pt>
                <c:pt idx="16">
                  <c:v>40</c:v>
                </c:pt>
                <c:pt idx="17">
                  <c:v>35.707142142714247</c:v>
                </c:pt>
                <c:pt idx="18">
                  <c:v>30</c:v>
                </c:pt>
                <c:pt idx="19">
                  <c:v>21.794494717703369</c:v>
                </c:pt>
                <c:pt idx="2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Normal Debris Fallout</c:v>
          </c:tx>
          <c:spPr>
            <a:ln w="38100">
              <a:solidFill>
                <a:srgbClr val="FF0000"/>
              </a:solidFill>
              <a:prstDash val="dash"/>
              <a:tailEnd type="stealth" w="lg" len="lg"/>
            </a:ln>
          </c:spPr>
          <c:marker>
            <c:symbol val="none"/>
          </c:marker>
          <c:xVal>
            <c:numRef>
              <c:f>Fallout!$E$3:$E$13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44.192365714650634</c:v>
                </c:pt>
                <c:pt idx="2">
                  <c:v>52.134511472421678</c:v>
                </c:pt>
                <c:pt idx="3">
                  <c:v>60.076657230192723</c:v>
                </c:pt>
                <c:pt idx="4">
                  <c:v>68.018802987963767</c:v>
                </c:pt>
                <c:pt idx="5">
                  <c:v>75.960948745734811</c:v>
                </c:pt>
                <c:pt idx="6">
                  <c:v>83.903094503505855</c:v>
                </c:pt>
                <c:pt idx="7">
                  <c:v>91.845240261276885</c:v>
                </c:pt>
                <c:pt idx="8">
                  <c:v>99.787386019047943</c:v>
                </c:pt>
                <c:pt idx="9">
                  <c:v>107.72953177681897</c:v>
                </c:pt>
                <c:pt idx="10">
                  <c:v>115.67167753459002</c:v>
                </c:pt>
              </c:numCache>
            </c:numRef>
          </c:xVal>
          <c:yVal>
            <c:numRef>
              <c:f>Fallout!$F$3:$F$13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Long Burn Stars</c:v>
          </c:tx>
          <c:spPr>
            <a:ln w="38100">
              <a:solidFill>
                <a:schemeClr val="accent6">
                  <a:lumMod val="75000"/>
                </a:schemeClr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Fallout!$L$3:$L$13</c:f>
              <c:numCache>
                <c:formatCode>0.00</c:formatCode>
                <c:ptCount val="11"/>
                <c:pt idx="0">
                  <c:v>36.25021995687959</c:v>
                </c:pt>
                <c:pt idx="1">
                  <c:v>52.134511472421678</c:v>
                </c:pt>
                <c:pt idx="2">
                  <c:v>68.018802987963767</c:v>
                </c:pt>
                <c:pt idx="3">
                  <c:v>83.903094503505855</c:v>
                </c:pt>
                <c:pt idx="4">
                  <c:v>99.787386019047943</c:v>
                </c:pt>
                <c:pt idx="5">
                  <c:v>115.67167753459002</c:v>
                </c:pt>
                <c:pt idx="6">
                  <c:v>131.55596905013209</c:v>
                </c:pt>
                <c:pt idx="7">
                  <c:v>147.44026056567418</c:v>
                </c:pt>
                <c:pt idx="8">
                  <c:v>163.32455208121627</c:v>
                </c:pt>
                <c:pt idx="9">
                  <c:v>179.20884359675836</c:v>
                </c:pt>
                <c:pt idx="10">
                  <c:v>195.09313511230044</c:v>
                </c:pt>
              </c:numCache>
            </c:numRef>
          </c:xVal>
          <c:yVal>
            <c:numRef>
              <c:f>Fallout!$M$3:$M$13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50752"/>
        <c:axId val="95052928"/>
      </c:scatterChart>
      <c:valAx>
        <c:axId val="95050752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 algn="ctr" rtl="0">
                  <a:def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u="none" strike="noStrike" kern="1200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rPr>
                  <a:t>Downrange Carry (x ) [metres]</a:t>
                </a:r>
              </a:p>
            </c:rich>
          </c:tx>
          <c:layout>
            <c:manualLayout>
              <c:xMode val="edge"/>
              <c:yMode val="edge"/>
              <c:x val="4.4593566273982206E-2"/>
              <c:y val="0.753494030267044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052928"/>
        <c:crosses val="autoZero"/>
        <c:crossBetween val="midCat"/>
        <c:majorUnit val="20"/>
        <c:minorUnit val="10"/>
      </c:valAx>
      <c:valAx>
        <c:axId val="95052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GB" sz="1050" b="0" i="1" baseline="0">
                    <a:solidFill>
                      <a:schemeClr val="tx2"/>
                    </a:solidFill>
                  </a:rPr>
                  <a:t> Crosswind Carry (y)  </a:t>
                </a:r>
                <a:r>
                  <a:rPr lang="en-GB" sz="1050" b="0" i="1">
                    <a:solidFill>
                      <a:schemeClr val="tx2"/>
                    </a:solidFill>
                  </a:rPr>
                  <a:t>[metres]</a:t>
                </a:r>
              </a:p>
            </c:rich>
          </c:tx>
          <c:layout>
            <c:manualLayout>
              <c:xMode val="edge"/>
              <c:yMode val="edge"/>
              <c:x val="0.94678775504532642"/>
              <c:y val="0.148895974258124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050752"/>
        <c:crosses val="autoZero"/>
        <c:crossBetween val="midCat"/>
        <c:majorUnit val="20"/>
        <c:minorUnit val="10"/>
      </c:valAx>
      <c:spPr>
        <a:solidFill>
          <a:schemeClr val="accent4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4"/>
        <c:delete val="1"/>
      </c:legendEntry>
      <c:legendEntry>
        <c:idx val="5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</c:legendEntry>
      <c:layout>
        <c:manualLayout>
          <c:xMode val="edge"/>
          <c:yMode val="edge"/>
          <c:x val="9.9271164787704369E-2"/>
          <c:y val="0.81026438569206838"/>
          <c:w val="0.77485506257259129"/>
          <c:h val="8.2131857411628872E-2"/>
        </c:manualLayout>
      </c:layout>
      <c:overlay val="0"/>
      <c:spPr>
        <a:solidFill>
          <a:schemeClr val="accent4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200mm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Calcs'!$D$2:$D$14</c:f>
              <c:numCache>
                <c:formatCode>General</c:formatCode>
                <c:ptCount val="13"/>
                <c:pt idx="0">
                  <c:v>359</c:v>
                </c:pt>
                <c:pt idx="1">
                  <c:v>343</c:v>
                </c:pt>
                <c:pt idx="2">
                  <c:v>325</c:v>
                </c:pt>
                <c:pt idx="3">
                  <c:v>307</c:v>
                </c:pt>
                <c:pt idx="4">
                  <c:v>288</c:v>
                </c:pt>
                <c:pt idx="5">
                  <c:v>267</c:v>
                </c:pt>
                <c:pt idx="6">
                  <c:v>245</c:v>
                </c:pt>
                <c:pt idx="7">
                  <c:v>222</c:v>
                </c:pt>
                <c:pt idx="8">
                  <c:v>198</c:v>
                </c:pt>
                <c:pt idx="9">
                  <c:v>173</c:v>
                </c:pt>
                <c:pt idx="10">
                  <c:v>146</c:v>
                </c:pt>
                <c:pt idx="11">
                  <c:v>119</c:v>
                </c:pt>
                <c:pt idx="12">
                  <c:v>91</c:v>
                </c:pt>
              </c:numCache>
            </c:numRef>
          </c:yVal>
          <c:smooth val="1"/>
        </c:ser>
        <c:ser>
          <c:idx val="1"/>
          <c:order val="1"/>
          <c:tx>
            <c:v>150mm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Calcs'!$E$2:$E$14</c:f>
              <c:numCache>
                <c:formatCode>General</c:formatCode>
                <c:ptCount val="13"/>
                <c:pt idx="0">
                  <c:v>302</c:v>
                </c:pt>
                <c:pt idx="1">
                  <c:v>289</c:v>
                </c:pt>
                <c:pt idx="2">
                  <c:v>275</c:v>
                </c:pt>
                <c:pt idx="3">
                  <c:v>261</c:v>
                </c:pt>
                <c:pt idx="4">
                  <c:v>246</c:v>
                </c:pt>
                <c:pt idx="5">
                  <c:v>230</c:v>
                </c:pt>
                <c:pt idx="6">
                  <c:v>213</c:v>
                </c:pt>
                <c:pt idx="7">
                  <c:v>194</c:v>
                </c:pt>
                <c:pt idx="8">
                  <c:v>175</c:v>
                </c:pt>
                <c:pt idx="9">
                  <c:v>154</c:v>
                </c:pt>
                <c:pt idx="10">
                  <c:v>132</c:v>
                </c:pt>
                <c:pt idx="11">
                  <c:v>108</c:v>
                </c:pt>
                <c:pt idx="12">
                  <c:v>84</c:v>
                </c:pt>
              </c:numCache>
            </c:numRef>
          </c:yVal>
          <c:smooth val="1"/>
        </c:ser>
        <c:ser>
          <c:idx val="2"/>
          <c:order val="2"/>
          <c:tx>
            <c:v>125mm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Calcs'!$F$2:$F$14</c:f>
              <c:numCache>
                <c:formatCode>General</c:formatCode>
                <c:ptCount val="13"/>
                <c:pt idx="0">
                  <c:v>269</c:v>
                </c:pt>
                <c:pt idx="1">
                  <c:v>258</c:v>
                </c:pt>
                <c:pt idx="2">
                  <c:v>247</c:v>
                </c:pt>
                <c:pt idx="3">
                  <c:v>235</c:v>
                </c:pt>
                <c:pt idx="4">
                  <c:v>222</c:v>
                </c:pt>
                <c:pt idx="5">
                  <c:v>208</c:v>
                </c:pt>
                <c:pt idx="6">
                  <c:v>193</c:v>
                </c:pt>
                <c:pt idx="7">
                  <c:v>177</c:v>
                </c:pt>
                <c:pt idx="8">
                  <c:v>160</c:v>
                </c:pt>
                <c:pt idx="9">
                  <c:v>142</c:v>
                </c:pt>
                <c:pt idx="10">
                  <c:v>123</c:v>
                </c:pt>
                <c:pt idx="11">
                  <c:v>102</c:v>
                </c:pt>
                <c:pt idx="12">
                  <c:v>80</c:v>
                </c:pt>
              </c:numCache>
            </c:numRef>
          </c:yVal>
          <c:smooth val="1"/>
        </c:ser>
        <c:ser>
          <c:idx val="3"/>
          <c:order val="3"/>
          <c:tx>
            <c:v>100mm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Calcs'!$G$2:$G$14</c:f>
              <c:numCache>
                <c:formatCode>General</c:formatCode>
                <c:ptCount val="13"/>
                <c:pt idx="0">
                  <c:v>232</c:v>
                </c:pt>
                <c:pt idx="1">
                  <c:v>224</c:v>
                </c:pt>
                <c:pt idx="2">
                  <c:v>215</c:v>
                </c:pt>
                <c:pt idx="3">
                  <c:v>205</c:v>
                </c:pt>
                <c:pt idx="4">
                  <c:v>194</c:v>
                </c:pt>
                <c:pt idx="5">
                  <c:v>183</c:v>
                </c:pt>
                <c:pt idx="6">
                  <c:v>171</c:v>
                </c:pt>
                <c:pt idx="7">
                  <c:v>158</c:v>
                </c:pt>
                <c:pt idx="8">
                  <c:v>144</c:v>
                </c:pt>
                <c:pt idx="9">
                  <c:v>128</c:v>
                </c:pt>
                <c:pt idx="10">
                  <c:v>112</c:v>
                </c:pt>
                <c:pt idx="11">
                  <c:v>94</c:v>
                </c:pt>
                <c:pt idx="12">
                  <c:v>75</c:v>
                </c:pt>
              </c:numCache>
            </c:numRef>
          </c:yVal>
          <c:smooth val="1"/>
        </c:ser>
        <c:ser>
          <c:idx val="4"/>
          <c:order val="4"/>
          <c:tx>
            <c:v>75mm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Calcs'!$H$2:$H$14</c:f>
              <c:numCache>
                <c:formatCode>General</c:formatCode>
                <c:ptCount val="13"/>
                <c:pt idx="0">
                  <c:v>191</c:v>
                </c:pt>
                <c:pt idx="1">
                  <c:v>185</c:v>
                </c:pt>
                <c:pt idx="2">
                  <c:v>178</c:v>
                </c:pt>
                <c:pt idx="3">
                  <c:v>171</c:v>
                </c:pt>
                <c:pt idx="4">
                  <c:v>163</c:v>
                </c:pt>
                <c:pt idx="5">
                  <c:v>154</c:v>
                </c:pt>
                <c:pt idx="6">
                  <c:v>145</c:v>
                </c:pt>
                <c:pt idx="7">
                  <c:v>135</c:v>
                </c:pt>
                <c:pt idx="8">
                  <c:v>124</c:v>
                </c:pt>
                <c:pt idx="9">
                  <c:v>111</c:v>
                </c:pt>
                <c:pt idx="10">
                  <c:v>98</c:v>
                </c:pt>
                <c:pt idx="11">
                  <c:v>84</c:v>
                </c:pt>
                <c:pt idx="12">
                  <c:v>68</c:v>
                </c:pt>
              </c:numCache>
            </c:numRef>
          </c:yVal>
          <c:smooth val="1"/>
        </c:ser>
        <c:ser>
          <c:idx val="5"/>
          <c:order val="5"/>
          <c:tx>
            <c:v>250mm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Calcs'!$C$2:$C$14</c:f>
              <c:numCache>
                <c:formatCode>General</c:formatCode>
                <c:ptCount val="13"/>
                <c:pt idx="0">
                  <c:v>407</c:v>
                </c:pt>
                <c:pt idx="1">
                  <c:v>388</c:v>
                </c:pt>
                <c:pt idx="2">
                  <c:v>367</c:v>
                </c:pt>
                <c:pt idx="3">
                  <c:v>346</c:v>
                </c:pt>
                <c:pt idx="4">
                  <c:v>322</c:v>
                </c:pt>
                <c:pt idx="5">
                  <c:v>298</c:v>
                </c:pt>
                <c:pt idx="6">
                  <c:v>271</c:v>
                </c:pt>
                <c:pt idx="7">
                  <c:v>243</c:v>
                </c:pt>
                <c:pt idx="8">
                  <c:v>212</c:v>
                </c:pt>
                <c:pt idx="9">
                  <c:v>179</c:v>
                </c:pt>
                <c:pt idx="10">
                  <c:v>143</c:v>
                </c:pt>
                <c:pt idx="11">
                  <c:v>103</c:v>
                </c:pt>
                <c:pt idx="12">
                  <c:v>59</c:v>
                </c:pt>
              </c:numCache>
            </c:numRef>
          </c:yVal>
          <c:smooth val="1"/>
        </c:ser>
        <c:ser>
          <c:idx val="6"/>
          <c:order val="6"/>
          <c:tx>
            <c:v>300mm</c:v>
          </c:tx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Calcs'!$A$2:$A$14</c:f>
              <c:numCache>
                <c:formatCode>General</c:formatCode>
                <c:ptCount val="13"/>
                <c:pt idx="0">
                  <c:v>170</c:v>
                </c:pt>
                <c:pt idx="1">
                  <c:v>160</c:v>
                </c:pt>
                <c:pt idx="2">
                  <c:v>150</c:v>
                </c:pt>
                <c:pt idx="3">
                  <c:v>140</c:v>
                </c:pt>
                <c:pt idx="4">
                  <c:v>130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</c:numCache>
            </c:numRef>
          </c:xVal>
          <c:yVal>
            <c:numRef>
              <c:f>'Shell BH Calcs'!$B$2:$B$14</c:f>
              <c:numCache>
                <c:formatCode>General</c:formatCode>
                <c:ptCount val="13"/>
                <c:pt idx="0">
                  <c:v>451</c:v>
                </c:pt>
                <c:pt idx="1">
                  <c:v>428</c:v>
                </c:pt>
                <c:pt idx="2">
                  <c:v>405</c:v>
                </c:pt>
                <c:pt idx="3">
                  <c:v>379</c:v>
                </c:pt>
                <c:pt idx="4">
                  <c:v>353</c:v>
                </c:pt>
                <c:pt idx="5">
                  <c:v>324</c:v>
                </c:pt>
                <c:pt idx="6">
                  <c:v>294</c:v>
                </c:pt>
                <c:pt idx="7">
                  <c:v>261</c:v>
                </c:pt>
                <c:pt idx="8">
                  <c:v>226</c:v>
                </c:pt>
                <c:pt idx="9">
                  <c:v>189</c:v>
                </c:pt>
                <c:pt idx="10">
                  <c:v>147</c:v>
                </c:pt>
                <c:pt idx="11">
                  <c:v>103</c:v>
                </c:pt>
                <c:pt idx="12">
                  <c:v>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45472"/>
        <c:axId val="97947008"/>
      </c:scatterChart>
      <c:valAx>
        <c:axId val="9794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947008"/>
        <c:crosses val="autoZero"/>
        <c:crossBetween val="midCat"/>
      </c:valAx>
      <c:valAx>
        <c:axId val="9794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945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og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'Shell BH Calcs'!$B$19:$H$19</c:f>
              <c:numCache>
                <c:formatCode>General</c:formatCode>
                <c:ptCount val="7"/>
                <c:pt idx="0">
                  <c:v>300</c:v>
                </c:pt>
                <c:pt idx="1">
                  <c:v>250</c:v>
                </c:pt>
                <c:pt idx="2">
                  <c:v>200</c:v>
                </c:pt>
                <c:pt idx="3">
                  <c:v>150</c:v>
                </c:pt>
                <c:pt idx="4">
                  <c:v>125</c:v>
                </c:pt>
                <c:pt idx="5">
                  <c:v>100</c:v>
                </c:pt>
                <c:pt idx="6">
                  <c:v>75</c:v>
                </c:pt>
              </c:numCache>
            </c:numRef>
          </c:xVal>
          <c:yVal>
            <c:numRef>
              <c:f>'Shell BH Calcs'!$B$20:$H$20</c:f>
              <c:numCache>
                <c:formatCode>General</c:formatCode>
                <c:ptCount val="7"/>
                <c:pt idx="0">
                  <c:v>2.6027999999999998</c:v>
                </c:pt>
                <c:pt idx="1">
                  <c:v>2.3875999999999999</c:v>
                </c:pt>
                <c:pt idx="2">
                  <c:v>2.1642999999999999</c:v>
                </c:pt>
                <c:pt idx="3">
                  <c:v>1.8562000000000001</c:v>
                </c:pt>
                <c:pt idx="4">
                  <c:v>1.6763999999999999</c:v>
                </c:pt>
                <c:pt idx="5">
                  <c:v>1.4725999999999999</c:v>
                </c:pt>
                <c:pt idx="6">
                  <c:v>1.2374000000000001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49408"/>
        <c:axId val="98051200"/>
      </c:scatterChart>
      <c:valAx>
        <c:axId val="980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051200"/>
        <c:crosses val="autoZero"/>
        <c:crossBetween val="midCat"/>
      </c:valAx>
      <c:valAx>
        <c:axId val="9805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9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180411</xdr:colOff>
      <xdr:row>20</xdr:row>
      <xdr:rowOff>78441</xdr:rowOff>
    </xdr:from>
    <xdr:to>
      <xdr:col>8</xdr:col>
      <xdr:colOff>1815353</xdr:colOff>
      <xdr:row>56</xdr:row>
      <xdr:rowOff>168087</xdr:rowOff>
    </xdr:to>
    <xdr:graphicFrame macro="">
      <xdr:nvGraphicFramePr>
        <xdr:cNvPr id="27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142445</xdr:colOff>
      <xdr:row>0</xdr:row>
      <xdr:rowOff>78439</xdr:rowOff>
    </xdr:from>
    <xdr:to>
      <xdr:col>8</xdr:col>
      <xdr:colOff>1781736</xdr:colOff>
      <xdr:row>23</xdr:row>
      <xdr:rowOff>-1</xdr:rowOff>
    </xdr:to>
    <xdr:graphicFrame macro="">
      <xdr:nvGraphicFramePr>
        <xdr:cNvPr id="276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85725</xdr:rowOff>
    </xdr:from>
    <xdr:to>
      <xdr:col>14</xdr:col>
      <xdr:colOff>495300</xdr:colOff>
      <xdr:row>45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38099</xdr:rowOff>
    </xdr:from>
    <xdr:to>
      <xdr:col>13</xdr:col>
      <xdr:colOff>342900</xdr:colOff>
      <xdr:row>48</xdr:row>
      <xdr:rowOff>95249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314325</xdr:colOff>
      <xdr:row>0</xdr:row>
      <xdr:rowOff>142875</xdr:rowOff>
    </xdr:from>
    <xdr:ext cx="4368312" cy="468013"/>
    <xdr:sp macro="" textlink="">
      <xdr:nvSpPr>
        <xdr:cNvPr id="6" name="TextBox 5"/>
        <xdr:cNvSpPr txBox="1"/>
      </xdr:nvSpPr>
      <xdr:spPr>
        <a:xfrm>
          <a:off x="314325" y="142875"/>
          <a:ext cx="4368312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400"/>
            <a:t>ShellCalc© - Plot of Ground Track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123824</xdr:rowOff>
    </xdr:from>
    <xdr:to>
      <xdr:col>13</xdr:col>
      <xdr:colOff>180975</xdr:colOff>
      <xdr:row>47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314325</xdr:colOff>
      <xdr:row>0</xdr:row>
      <xdr:rowOff>142875</xdr:rowOff>
    </xdr:from>
    <xdr:ext cx="4368312" cy="468013"/>
    <xdr:sp macro="" textlink="">
      <xdr:nvSpPr>
        <xdr:cNvPr id="3" name="TextBox 2"/>
        <xdr:cNvSpPr txBox="1"/>
      </xdr:nvSpPr>
      <xdr:spPr>
        <a:xfrm>
          <a:off x="314325" y="142875"/>
          <a:ext cx="4368312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400"/>
            <a:t>ShellCalc© - Plot of Ground Track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28575</xdr:rowOff>
    </xdr:from>
    <xdr:to>
      <xdr:col>9</xdr:col>
      <xdr:colOff>85060</xdr:colOff>
      <xdr:row>28</xdr:row>
      <xdr:rowOff>66144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90525"/>
          <a:ext cx="5323810" cy="4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29</xdr:row>
      <xdr:rowOff>114300</xdr:rowOff>
    </xdr:from>
    <xdr:to>
      <xdr:col>9</xdr:col>
      <xdr:colOff>18397</xdr:colOff>
      <xdr:row>55</xdr:row>
      <xdr:rowOff>37584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4848225"/>
          <a:ext cx="5228572" cy="4133334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381000</xdr:colOff>
      <xdr:row>0</xdr:row>
      <xdr:rowOff>76200</xdr:rowOff>
    </xdr:from>
    <xdr:to>
      <xdr:col>22</xdr:col>
      <xdr:colOff>199362</xdr:colOff>
      <xdr:row>26</xdr:row>
      <xdr:rowOff>9003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72675" y="76200"/>
          <a:ext cx="5304762" cy="4180953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10</xdr:row>
      <xdr:rowOff>142875</xdr:rowOff>
    </xdr:from>
    <xdr:to>
      <xdr:col>10</xdr:col>
      <xdr:colOff>438151</xdr:colOff>
      <xdr:row>12</xdr:row>
      <xdr:rowOff>85725</xdr:rowOff>
    </xdr:to>
    <xdr:cxnSp macro="">
      <xdr:nvCxnSpPr>
        <xdr:cNvPr id="7" name="Straight Arrow Connector 6"/>
        <xdr:cNvCxnSpPr/>
      </xdr:nvCxnSpPr>
      <xdr:spPr bwMode="auto">
        <a:xfrm flipH="1" flipV="1">
          <a:off x="2752725" y="1800225"/>
          <a:ext cx="3781426" cy="2667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219075</xdr:colOff>
      <xdr:row>10</xdr:row>
      <xdr:rowOff>19050</xdr:rowOff>
    </xdr:from>
    <xdr:to>
      <xdr:col>10</xdr:col>
      <xdr:colOff>409575</xdr:colOff>
      <xdr:row>10</xdr:row>
      <xdr:rowOff>76200</xdr:rowOff>
    </xdr:to>
    <xdr:cxnSp macro="">
      <xdr:nvCxnSpPr>
        <xdr:cNvPr id="10" name="Straight Arrow Connector 9"/>
        <xdr:cNvCxnSpPr/>
      </xdr:nvCxnSpPr>
      <xdr:spPr bwMode="auto">
        <a:xfrm flipH="1" flipV="1">
          <a:off x="2047875" y="1676400"/>
          <a:ext cx="4457700" cy="571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180975</xdr:colOff>
      <xdr:row>14</xdr:row>
      <xdr:rowOff>66675</xdr:rowOff>
    </xdr:from>
    <xdr:to>
      <xdr:col>10</xdr:col>
      <xdr:colOff>552450</xdr:colOff>
      <xdr:row>14</xdr:row>
      <xdr:rowOff>114300</xdr:rowOff>
    </xdr:to>
    <xdr:cxnSp macro="">
      <xdr:nvCxnSpPr>
        <xdr:cNvPr id="13" name="Straight Arrow Connector 12"/>
        <xdr:cNvCxnSpPr/>
      </xdr:nvCxnSpPr>
      <xdr:spPr bwMode="auto">
        <a:xfrm flipH="1">
          <a:off x="2619375" y="2371725"/>
          <a:ext cx="4029075" cy="476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533400</xdr:colOff>
      <xdr:row>16</xdr:row>
      <xdr:rowOff>104775</xdr:rowOff>
    </xdr:from>
    <xdr:to>
      <xdr:col>10</xdr:col>
      <xdr:colOff>409575</xdr:colOff>
      <xdr:row>17</xdr:row>
      <xdr:rowOff>76200</xdr:rowOff>
    </xdr:to>
    <xdr:cxnSp macro="">
      <xdr:nvCxnSpPr>
        <xdr:cNvPr id="16" name="Straight Arrow Connector 15"/>
        <xdr:cNvCxnSpPr/>
      </xdr:nvCxnSpPr>
      <xdr:spPr bwMode="auto">
        <a:xfrm flipH="1">
          <a:off x="2971800" y="2733675"/>
          <a:ext cx="3533775" cy="1333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190500</xdr:colOff>
      <xdr:row>18</xdr:row>
      <xdr:rowOff>85725</xdr:rowOff>
    </xdr:from>
    <xdr:to>
      <xdr:col>10</xdr:col>
      <xdr:colOff>457201</xdr:colOff>
      <xdr:row>20</xdr:row>
      <xdr:rowOff>0</xdr:rowOff>
    </xdr:to>
    <xdr:cxnSp macro="">
      <xdr:nvCxnSpPr>
        <xdr:cNvPr id="18" name="Straight Arrow Connector 17"/>
        <xdr:cNvCxnSpPr/>
      </xdr:nvCxnSpPr>
      <xdr:spPr bwMode="auto">
        <a:xfrm flipH="1">
          <a:off x="4457700" y="3038475"/>
          <a:ext cx="2095501" cy="2381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85725</xdr:colOff>
      <xdr:row>20</xdr:row>
      <xdr:rowOff>104775</xdr:rowOff>
    </xdr:from>
    <xdr:to>
      <xdr:col>10</xdr:col>
      <xdr:colOff>504825</xdr:colOff>
      <xdr:row>21</xdr:row>
      <xdr:rowOff>95250</xdr:rowOff>
    </xdr:to>
    <xdr:cxnSp macro="">
      <xdr:nvCxnSpPr>
        <xdr:cNvPr id="20" name="Straight Arrow Connector 19"/>
        <xdr:cNvCxnSpPr/>
      </xdr:nvCxnSpPr>
      <xdr:spPr bwMode="auto">
        <a:xfrm flipH="1">
          <a:off x="695325" y="3381375"/>
          <a:ext cx="5905500" cy="1524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104775</xdr:colOff>
      <xdr:row>22</xdr:row>
      <xdr:rowOff>76200</xdr:rowOff>
    </xdr:from>
    <xdr:to>
      <xdr:col>10</xdr:col>
      <xdr:colOff>571500</xdr:colOff>
      <xdr:row>22</xdr:row>
      <xdr:rowOff>114300</xdr:rowOff>
    </xdr:to>
    <xdr:cxnSp macro="">
      <xdr:nvCxnSpPr>
        <xdr:cNvPr id="23" name="Straight Arrow Connector 22"/>
        <xdr:cNvCxnSpPr/>
      </xdr:nvCxnSpPr>
      <xdr:spPr bwMode="auto">
        <a:xfrm flipH="1">
          <a:off x="4981575" y="3676650"/>
          <a:ext cx="1685925" cy="381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2628900</xdr:colOff>
      <xdr:row>9</xdr:row>
      <xdr:rowOff>47626</xdr:rowOff>
    </xdr:from>
    <xdr:to>
      <xdr:col>18</xdr:col>
      <xdr:colOff>514350</xdr:colOff>
      <xdr:row>10</xdr:row>
      <xdr:rowOff>114300</xdr:rowOff>
    </xdr:to>
    <xdr:cxnSp macro="">
      <xdr:nvCxnSpPr>
        <xdr:cNvPr id="26" name="Straight Arrow Connector 25"/>
        <xdr:cNvCxnSpPr/>
      </xdr:nvCxnSpPr>
      <xdr:spPr bwMode="auto">
        <a:xfrm flipV="1">
          <a:off x="9334500" y="1543051"/>
          <a:ext cx="4276725" cy="22859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742950</xdr:colOff>
      <xdr:row>12</xdr:row>
      <xdr:rowOff>114300</xdr:rowOff>
    </xdr:from>
    <xdr:to>
      <xdr:col>14</xdr:col>
      <xdr:colOff>476250</xdr:colOff>
      <xdr:row>14</xdr:row>
      <xdr:rowOff>114301</xdr:rowOff>
    </xdr:to>
    <xdr:cxnSp macro="">
      <xdr:nvCxnSpPr>
        <xdr:cNvPr id="28" name="Straight Arrow Connector 27"/>
        <xdr:cNvCxnSpPr/>
      </xdr:nvCxnSpPr>
      <xdr:spPr bwMode="auto">
        <a:xfrm flipV="1">
          <a:off x="7448550" y="2095500"/>
          <a:ext cx="3686175" cy="32385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819150</xdr:colOff>
      <xdr:row>17</xdr:row>
      <xdr:rowOff>19050</xdr:rowOff>
    </xdr:from>
    <xdr:to>
      <xdr:col>13</xdr:col>
      <xdr:colOff>504825</xdr:colOff>
      <xdr:row>20</xdr:row>
      <xdr:rowOff>85725</xdr:rowOff>
    </xdr:to>
    <xdr:cxnSp macro="">
      <xdr:nvCxnSpPr>
        <xdr:cNvPr id="30" name="Straight Arrow Connector 29"/>
        <xdr:cNvCxnSpPr/>
      </xdr:nvCxnSpPr>
      <xdr:spPr bwMode="auto">
        <a:xfrm flipV="1">
          <a:off x="7524750" y="2809875"/>
          <a:ext cx="3028950" cy="5524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790575</xdr:colOff>
      <xdr:row>18</xdr:row>
      <xdr:rowOff>104776</xdr:rowOff>
    </xdr:from>
    <xdr:to>
      <xdr:col>14</xdr:col>
      <xdr:colOff>381000</xdr:colOff>
      <xdr:row>22</xdr:row>
      <xdr:rowOff>123825</xdr:rowOff>
    </xdr:to>
    <xdr:cxnSp macro="">
      <xdr:nvCxnSpPr>
        <xdr:cNvPr id="32" name="Straight Arrow Connector 31"/>
        <xdr:cNvCxnSpPr/>
      </xdr:nvCxnSpPr>
      <xdr:spPr bwMode="auto">
        <a:xfrm flipV="1">
          <a:off x="7496175" y="3057526"/>
          <a:ext cx="3543300" cy="66674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238126</xdr:colOff>
      <xdr:row>41</xdr:row>
      <xdr:rowOff>114300</xdr:rowOff>
    </xdr:from>
    <xdr:to>
      <xdr:col>10</xdr:col>
      <xdr:colOff>457200</xdr:colOff>
      <xdr:row>43</xdr:row>
      <xdr:rowOff>9525</xdr:rowOff>
    </xdr:to>
    <xdr:cxnSp macro="">
      <xdr:nvCxnSpPr>
        <xdr:cNvPr id="34" name="Straight Arrow Connector 33"/>
        <xdr:cNvCxnSpPr/>
      </xdr:nvCxnSpPr>
      <xdr:spPr bwMode="auto">
        <a:xfrm flipH="1">
          <a:off x="2066926" y="6791325"/>
          <a:ext cx="4486274" cy="2190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352425</xdr:colOff>
      <xdr:row>35</xdr:row>
      <xdr:rowOff>114300</xdr:rowOff>
    </xdr:from>
    <xdr:to>
      <xdr:col>10</xdr:col>
      <xdr:colOff>523875</xdr:colOff>
      <xdr:row>38</xdr:row>
      <xdr:rowOff>85725</xdr:rowOff>
    </xdr:to>
    <xdr:cxnSp macro="">
      <xdr:nvCxnSpPr>
        <xdr:cNvPr id="37" name="Straight Arrow Connector 36"/>
        <xdr:cNvCxnSpPr/>
      </xdr:nvCxnSpPr>
      <xdr:spPr bwMode="auto">
        <a:xfrm flipH="1">
          <a:off x="3400425" y="5819775"/>
          <a:ext cx="3219450" cy="4572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561975</xdr:colOff>
      <xdr:row>37</xdr:row>
      <xdr:rowOff>85725</xdr:rowOff>
    </xdr:from>
    <xdr:to>
      <xdr:col>10</xdr:col>
      <xdr:colOff>485775</xdr:colOff>
      <xdr:row>41</xdr:row>
      <xdr:rowOff>114300</xdr:rowOff>
    </xdr:to>
    <xdr:cxnSp macro="">
      <xdr:nvCxnSpPr>
        <xdr:cNvPr id="39" name="Straight Arrow Connector 38"/>
        <xdr:cNvCxnSpPr/>
      </xdr:nvCxnSpPr>
      <xdr:spPr bwMode="auto">
        <a:xfrm flipH="1">
          <a:off x="2390775" y="6115050"/>
          <a:ext cx="4191000" cy="6762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390525</xdr:colOff>
      <xdr:row>39</xdr:row>
      <xdr:rowOff>95251</xdr:rowOff>
    </xdr:from>
    <xdr:to>
      <xdr:col>10</xdr:col>
      <xdr:colOff>514351</xdr:colOff>
      <xdr:row>42</xdr:row>
      <xdr:rowOff>19050</xdr:rowOff>
    </xdr:to>
    <xdr:cxnSp macro="">
      <xdr:nvCxnSpPr>
        <xdr:cNvPr id="41" name="Straight Arrow Connector 40"/>
        <xdr:cNvCxnSpPr/>
      </xdr:nvCxnSpPr>
      <xdr:spPr bwMode="auto">
        <a:xfrm flipH="1">
          <a:off x="2828925" y="6448426"/>
          <a:ext cx="3781426" cy="40957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523876</xdr:colOff>
      <xdr:row>33</xdr:row>
      <xdr:rowOff>66675</xdr:rowOff>
    </xdr:from>
    <xdr:to>
      <xdr:col>10</xdr:col>
      <xdr:colOff>476250</xdr:colOff>
      <xdr:row>34</xdr:row>
      <xdr:rowOff>123825</xdr:rowOff>
    </xdr:to>
    <xdr:cxnSp macro="">
      <xdr:nvCxnSpPr>
        <xdr:cNvPr id="43" name="Straight Arrow Connector 42"/>
        <xdr:cNvCxnSpPr/>
      </xdr:nvCxnSpPr>
      <xdr:spPr bwMode="auto">
        <a:xfrm flipH="1">
          <a:off x="4791076" y="5448300"/>
          <a:ext cx="1781174" cy="2190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85725</xdr:colOff>
      <xdr:row>43</xdr:row>
      <xdr:rowOff>85725</xdr:rowOff>
    </xdr:from>
    <xdr:to>
      <xdr:col>10</xdr:col>
      <xdr:colOff>409575</xdr:colOff>
      <xdr:row>44</xdr:row>
      <xdr:rowOff>66675</xdr:rowOff>
    </xdr:to>
    <xdr:cxnSp macro="">
      <xdr:nvCxnSpPr>
        <xdr:cNvPr id="45" name="Straight Arrow Connector 44"/>
        <xdr:cNvCxnSpPr/>
      </xdr:nvCxnSpPr>
      <xdr:spPr bwMode="auto">
        <a:xfrm flipH="1">
          <a:off x="695325" y="7086600"/>
          <a:ext cx="581025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123826</xdr:colOff>
      <xdr:row>50</xdr:row>
      <xdr:rowOff>104775</xdr:rowOff>
    </xdr:from>
    <xdr:to>
      <xdr:col>10</xdr:col>
      <xdr:colOff>504825</xdr:colOff>
      <xdr:row>52</xdr:row>
      <xdr:rowOff>38100</xdr:rowOff>
    </xdr:to>
    <xdr:cxnSp macro="">
      <xdr:nvCxnSpPr>
        <xdr:cNvPr id="57" name="Straight Arrow Connector 56"/>
        <xdr:cNvCxnSpPr/>
      </xdr:nvCxnSpPr>
      <xdr:spPr bwMode="auto">
        <a:xfrm flipH="1">
          <a:off x="5000626" y="8239125"/>
          <a:ext cx="1600199" cy="2571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342899</xdr:colOff>
      <xdr:row>2</xdr:row>
      <xdr:rowOff>19049</xdr:rowOff>
    </xdr:from>
    <xdr:to>
      <xdr:col>20</xdr:col>
      <xdr:colOff>428624</xdr:colOff>
      <xdr:row>30</xdr:row>
      <xdr:rowOff>138112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</xdr:colOff>
      <xdr:row>30</xdr:row>
      <xdr:rowOff>42862</xdr:rowOff>
    </xdr:from>
    <xdr:to>
      <xdr:col>9</xdr:col>
      <xdr:colOff>347662</xdr:colOff>
      <xdr:row>47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pyro.com/wp?p=2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jpyro.com/wp/?p=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J57"/>
  <sheetViews>
    <sheetView showGridLines="0" tabSelected="1" zoomScale="80" zoomScaleNormal="80" zoomScaleSheetLayoutView="85" workbookViewId="0">
      <selection activeCell="L24" sqref="L24"/>
    </sheetView>
  </sheetViews>
  <sheetFormatPr defaultRowHeight="12.75" x14ac:dyDescent="0.2"/>
  <cols>
    <col min="1" max="1" width="3.7109375" style="6" customWidth="1"/>
    <col min="2" max="2" width="31.85546875" style="6" customWidth="1"/>
    <col min="3" max="3" width="24.140625" style="6" customWidth="1"/>
    <col min="4" max="4" width="36" style="6" customWidth="1"/>
    <col min="5" max="5" width="4.42578125" style="6" customWidth="1"/>
    <col min="6" max="6" width="39.28515625" style="7" customWidth="1"/>
    <col min="7" max="7" width="7.140625" style="6" customWidth="1"/>
    <col min="8" max="8" width="16.28515625" style="6" customWidth="1"/>
    <col min="9" max="9" width="28.28515625" style="6" customWidth="1"/>
    <col min="10" max="10" width="4.28515625" style="6" customWidth="1"/>
    <col min="11" max="16384" width="9.140625" style="6"/>
  </cols>
  <sheetData>
    <row r="1" spans="1:10" ht="36.75" thickBot="1" x14ac:dyDescent="0.5">
      <c r="A1" s="28"/>
      <c r="B1" s="139" t="s">
        <v>291</v>
      </c>
      <c r="C1" s="139"/>
      <c r="D1" s="139"/>
      <c r="E1" s="29"/>
      <c r="I1" s="76"/>
      <c r="J1" s="31"/>
    </row>
    <row r="2" spans="1:10" ht="21.75" thickTop="1" thickBot="1" x14ac:dyDescent="0.35">
      <c r="A2" s="30"/>
      <c r="B2" s="133" t="s">
        <v>176</v>
      </c>
      <c r="C2" s="134"/>
      <c r="D2" s="135"/>
      <c r="E2" s="31"/>
      <c r="I2" s="31"/>
      <c r="J2" s="31"/>
    </row>
    <row r="3" spans="1:10" ht="15.75" thickTop="1" x14ac:dyDescent="0.2">
      <c r="A3" s="30"/>
      <c r="B3" s="62" t="s">
        <v>94</v>
      </c>
      <c r="C3" s="52" t="s">
        <v>199</v>
      </c>
      <c r="D3" s="56" t="s">
        <v>194</v>
      </c>
      <c r="E3" s="53"/>
      <c r="I3" s="31"/>
      <c r="J3" s="31"/>
    </row>
    <row r="4" spans="1:10" ht="15" x14ac:dyDescent="0.2">
      <c r="A4" s="30"/>
      <c r="B4" s="62" t="str">
        <f>IF(is_shell, "Shell Diameter","Comet Diameter")</f>
        <v>Shell Diameter</v>
      </c>
      <c r="C4" s="52" t="s">
        <v>55</v>
      </c>
      <c r="D4" s="56" t="s">
        <v>195</v>
      </c>
      <c r="E4" s="53"/>
      <c r="I4" s="31"/>
      <c r="J4" s="31"/>
    </row>
    <row r="5" spans="1:10" ht="15" customHeight="1" x14ac:dyDescent="0.2">
      <c r="A5" s="30"/>
      <c r="B5" s="62" t="s">
        <v>223</v>
      </c>
      <c r="C5" s="55">
        <v>0</v>
      </c>
      <c r="D5" s="56" t="s">
        <v>196</v>
      </c>
      <c r="E5" s="53"/>
      <c r="I5" s="31"/>
      <c r="J5" s="31"/>
    </row>
    <row r="6" spans="1:10" ht="15" x14ac:dyDescent="0.2">
      <c r="A6" s="30"/>
      <c r="B6" s="62" t="s">
        <v>95</v>
      </c>
      <c r="C6" s="52" t="s">
        <v>91</v>
      </c>
      <c r="D6" s="56" t="s">
        <v>197</v>
      </c>
      <c r="E6" s="53"/>
      <c r="I6" s="31"/>
      <c r="J6" s="31"/>
    </row>
    <row r="7" spans="1:10" ht="15" x14ac:dyDescent="0.2">
      <c r="A7" s="30"/>
      <c r="B7" s="62" t="s">
        <v>45</v>
      </c>
      <c r="C7" s="55">
        <v>15</v>
      </c>
      <c r="D7" s="56" t="str">
        <f>IF(is_imp,"kts","km/h")</f>
        <v>km/h</v>
      </c>
      <c r="E7" s="53"/>
      <c r="I7" s="31"/>
      <c r="J7" s="31"/>
    </row>
    <row r="8" spans="1:10" ht="15.75" thickBot="1" x14ac:dyDescent="0.25">
      <c r="A8" s="30"/>
      <c r="B8" s="63" t="s">
        <v>47</v>
      </c>
      <c r="C8" s="109">
        <v>0</v>
      </c>
      <c r="D8" s="59" t="s">
        <v>198</v>
      </c>
      <c r="E8" s="53"/>
      <c r="I8" s="31"/>
      <c r="J8" s="31"/>
    </row>
    <row r="9" spans="1:10" ht="14.25" thickTop="1" thickBot="1" x14ac:dyDescent="0.25">
      <c r="A9" s="30"/>
      <c r="E9" s="60"/>
      <c r="I9" s="31"/>
      <c r="J9" s="31"/>
    </row>
    <row r="10" spans="1:10" ht="21.75" thickTop="1" thickBot="1" x14ac:dyDescent="0.35">
      <c r="A10" s="30"/>
      <c r="B10" s="133" t="s">
        <v>192</v>
      </c>
      <c r="C10" s="134"/>
      <c r="D10" s="135"/>
      <c r="E10" s="60"/>
      <c r="I10" s="31"/>
      <c r="J10" s="31"/>
    </row>
    <row r="11" spans="1:10" ht="15" thickTop="1" x14ac:dyDescent="0.2">
      <c r="A11" s="30"/>
      <c r="B11" s="78" t="s">
        <v>117</v>
      </c>
      <c r="C11" s="79">
        <v>0</v>
      </c>
      <c r="D11" s="80" t="str">
        <f>IF(is_imp,"ft from ground level","m from ground level")</f>
        <v>m from ground level</v>
      </c>
      <c r="E11" s="60"/>
      <c r="I11" s="31"/>
      <c r="J11" s="31"/>
    </row>
    <row r="12" spans="1:10" ht="14.25" x14ac:dyDescent="0.2">
      <c r="A12" s="30"/>
      <c r="B12" s="78" t="s">
        <v>46</v>
      </c>
      <c r="C12" s="79"/>
      <c r="D12" s="80" t="str">
        <f>IF(is_imp,"ft/s - ","m/s - ")&amp;"Not valid if SBH entered"</f>
        <v>m/s - Not valid if SBH entered</v>
      </c>
      <c r="E12" s="60"/>
      <c r="I12" s="31"/>
      <c r="J12" s="31"/>
    </row>
    <row r="13" spans="1:10" ht="14.25" x14ac:dyDescent="0.2">
      <c r="A13" s="30"/>
      <c r="B13" s="78" t="str">
        <f>IF(is_shell,"Fuse Delay","Comet Burning Time")</f>
        <v>Fuse Delay</v>
      </c>
      <c r="C13" s="79"/>
      <c r="D13" s="80" t="s">
        <v>255</v>
      </c>
      <c r="E13" s="60"/>
      <c r="I13" s="31"/>
      <c r="J13" s="31"/>
    </row>
    <row r="14" spans="1:10" ht="14.25" x14ac:dyDescent="0.2">
      <c r="A14" s="30"/>
      <c r="B14" s="78" t="str">
        <f>IF(is_shell,"Shell Mass","Comet Mass")</f>
        <v>Shell Mass</v>
      </c>
      <c r="C14" s="79"/>
      <c r="D14" s="80" t="str">
        <f>IF(is_imp,"lb","g")</f>
        <v>g</v>
      </c>
      <c r="E14" s="60"/>
      <c r="I14" s="31"/>
      <c r="J14" s="31"/>
    </row>
    <row r="15" spans="1:10" ht="14.25" x14ac:dyDescent="0.2">
      <c r="A15" s="30"/>
      <c r="B15" s="78" t="s">
        <v>271</v>
      </c>
      <c r="C15" s="79"/>
      <c r="D15" s="80" t="s">
        <v>272</v>
      </c>
      <c r="E15" s="60"/>
      <c r="I15" s="31"/>
      <c r="J15" s="31"/>
    </row>
    <row r="16" spans="1:10" ht="14.25" x14ac:dyDescent="0.2">
      <c r="A16" s="30"/>
      <c r="B16" s="78" t="s">
        <v>179</v>
      </c>
      <c r="C16" s="79"/>
      <c r="D16" s="80" t="str">
        <f>IF(is_imp,"ft","m")</f>
        <v>m</v>
      </c>
      <c r="E16" s="60"/>
      <c r="I16" s="31"/>
      <c r="J16" s="31"/>
    </row>
    <row r="17" spans="1:10" ht="15" thickBot="1" x14ac:dyDescent="0.25">
      <c r="A17" s="30"/>
      <c r="B17" s="81" t="s">
        <v>48</v>
      </c>
      <c r="C17" s="82">
        <v>0</v>
      </c>
      <c r="D17" s="83" t="str">
        <f>IF(is_imp,"ft AMSL","m AMSL")</f>
        <v>m AMSL</v>
      </c>
      <c r="E17" s="60"/>
      <c r="I17" s="31"/>
      <c r="J17" s="31"/>
    </row>
    <row r="18" spans="1:10" ht="14.25" thickTop="1" thickBot="1" x14ac:dyDescent="0.25">
      <c r="A18" s="30"/>
      <c r="E18" s="60"/>
      <c r="I18" s="31"/>
      <c r="J18" s="31"/>
    </row>
    <row r="19" spans="1:10" ht="21.75" thickTop="1" thickBot="1" x14ac:dyDescent="0.35">
      <c r="A19" s="30"/>
      <c r="B19" s="152" t="s">
        <v>226</v>
      </c>
      <c r="C19" s="153"/>
      <c r="D19" s="154"/>
      <c r="E19" s="60"/>
      <c r="I19" s="31"/>
      <c r="J19" s="31"/>
    </row>
    <row r="20" spans="1:10" ht="15.75" thickTop="1" thickBot="1" x14ac:dyDescent="0.25">
      <c r="A20" s="30"/>
      <c r="B20" s="128" t="s">
        <v>39</v>
      </c>
      <c r="C20" s="129">
        <v>2</v>
      </c>
      <c r="D20" s="130" t="s">
        <v>44</v>
      </c>
      <c r="E20" s="60"/>
      <c r="I20" s="31"/>
      <c r="J20" s="31"/>
    </row>
    <row r="21" spans="1:10" ht="14.25" thickTop="1" thickBot="1" x14ac:dyDescent="0.25">
      <c r="A21" s="30"/>
      <c r="E21" s="60"/>
      <c r="I21" s="31"/>
      <c r="J21" s="31"/>
    </row>
    <row r="22" spans="1:10" ht="21.75" thickTop="1" thickBot="1" x14ac:dyDescent="0.35">
      <c r="A22" s="30"/>
      <c r="B22" s="149" t="s">
        <v>178</v>
      </c>
      <c r="C22" s="150"/>
      <c r="D22" s="151"/>
      <c r="E22" s="60"/>
      <c r="I22" s="31"/>
      <c r="J22" s="31"/>
    </row>
    <row r="23" spans="1:10" ht="15" thickTop="1" x14ac:dyDescent="0.2">
      <c r="A23" s="30"/>
      <c r="B23" s="85" t="s">
        <v>175</v>
      </c>
      <c r="C23" s="86" t="s">
        <v>140</v>
      </c>
      <c r="D23" s="87" t="s">
        <v>162</v>
      </c>
      <c r="E23" s="60"/>
      <c r="I23" s="31"/>
      <c r="J23" s="31"/>
    </row>
    <row r="24" spans="1:10" ht="15" thickBot="1" x14ac:dyDescent="0.25">
      <c r="A24" s="30"/>
      <c r="B24" s="88" t="s">
        <v>174</v>
      </c>
      <c r="C24" s="84" t="s">
        <v>140</v>
      </c>
      <c r="D24" s="89" t="s">
        <v>162</v>
      </c>
      <c r="E24" s="60"/>
      <c r="I24" s="31"/>
      <c r="J24" s="31"/>
    </row>
    <row r="25" spans="1:10" ht="14.25" thickTop="1" thickBot="1" x14ac:dyDescent="0.25">
      <c r="A25" s="30"/>
      <c r="B25" s="31"/>
      <c r="C25" s="31"/>
      <c r="D25" s="31"/>
      <c r="E25" s="31"/>
      <c r="F25" s="32"/>
      <c r="G25" s="31"/>
      <c r="H25" s="31"/>
      <c r="I25" s="31"/>
      <c r="J25" s="31"/>
    </row>
    <row r="26" spans="1:10" ht="13.5" hidden="1" thickBot="1" x14ac:dyDescent="0.25">
      <c r="A26" s="30"/>
      <c r="B26" s="31"/>
      <c r="C26" s="31"/>
      <c r="D26" s="31"/>
      <c r="E26" s="31"/>
      <c r="F26" s="32"/>
      <c r="G26" s="31"/>
      <c r="H26" s="31"/>
      <c r="I26" s="31"/>
      <c r="J26" s="31"/>
    </row>
    <row r="27" spans="1:10" ht="0.75" hidden="1" customHeight="1" x14ac:dyDescent="0.2">
      <c r="A27" s="30"/>
      <c r="B27" s="33"/>
      <c r="C27" s="33"/>
      <c r="D27" s="33"/>
      <c r="E27" s="31"/>
      <c r="F27" s="32"/>
      <c r="G27" s="31"/>
      <c r="H27" s="31"/>
      <c r="I27" s="31"/>
      <c r="J27" s="31"/>
    </row>
    <row r="28" spans="1:10" ht="13.5" hidden="1" thickBot="1" x14ac:dyDescent="0.25">
      <c r="A28" s="30"/>
      <c r="B28" s="31"/>
      <c r="C28" s="31"/>
      <c r="D28" s="31"/>
      <c r="E28" s="31"/>
      <c r="F28" s="32"/>
      <c r="G28" s="31"/>
      <c r="H28" s="31"/>
      <c r="I28" s="31"/>
      <c r="J28" s="31"/>
    </row>
    <row r="29" spans="1:10" ht="13.5" hidden="1" thickBot="1" x14ac:dyDescent="0.25">
      <c r="A29" s="30"/>
      <c r="B29" s="31"/>
      <c r="C29" s="31"/>
      <c r="D29" s="31"/>
      <c r="E29" s="31"/>
      <c r="F29" s="32"/>
      <c r="G29" s="31"/>
      <c r="H29" s="31"/>
      <c r="I29" s="31"/>
      <c r="J29" s="31"/>
    </row>
    <row r="30" spans="1:10" ht="0.75" hidden="1" customHeight="1" x14ac:dyDescent="0.2">
      <c r="A30" s="30"/>
      <c r="B30" s="31"/>
      <c r="C30" s="31"/>
      <c r="D30" s="31"/>
      <c r="E30" s="31"/>
      <c r="F30" s="32"/>
      <c r="G30" s="31"/>
      <c r="H30" s="31"/>
      <c r="I30" s="31"/>
      <c r="J30" s="31"/>
    </row>
    <row r="31" spans="1:10" ht="13.5" hidden="1" thickBot="1" x14ac:dyDescent="0.25">
      <c r="A31" s="30"/>
      <c r="B31" s="31"/>
      <c r="C31" s="31"/>
      <c r="D31" s="31"/>
      <c r="E31" s="31"/>
      <c r="F31" s="32"/>
      <c r="G31" s="31"/>
      <c r="H31" s="31"/>
      <c r="I31" s="31"/>
      <c r="J31" s="31"/>
    </row>
    <row r="32" spans="1:10" ht="13.5" hidden="1" thickBot="1" x14ac:dyDescent="0.25">
      <c r="A32" s="30"/>
      <c r="B32" s="31"/>
      <c r="C32" s="31"/>
      <c r="D32" s="31"/>
      <c r="E32" s="31"/>
      <c r="F32" s="32"/>
      <c r="G32" s="31"/>
      <c r="H32" s="31"/>
      <c r="I32" s="31"/>
      <c r="J32" s="31"/>
    </row>
    <row r="33" spans="1:10" ht="13.5" hidden="1" thickBot="1" x14ac:dyDescent="0.25">
      <c r="A33" s="30"/>
      <c r="B33" s="31"/>
      <c r="C33" s="31"/>
      <c r="D33" s="31"/>
      <c r="E33" s="31"/>
      <c r="F33" s="32"/>
      <c r="G33" s="31"/>
      <c r="H33" s="31"/>
      <c r="I33" s="31"/>
      <c r="J33" s="31"/>
    </row>
    <row r="34" spans="1:10" ht="13.5" hidden="1" thickBot="1" x14ac:dyDescent="0.25">
      <c r="A34" s="30"/>
      <c r="B34" s="31"/>
      <c r="C34" s="31"/>
      <c r="D34" s="31"/>
      <c r="E34" s="31"/>
      <c r="F34" s="32"/>
      <c r="G34" s="31"/>
      <c r="H34" s="31"/>
      <c r="I34" s="31"/>
      <c r="J34" s="31"/>
    </row>
    <row r="35" spans="1:10" ht="21.75" thickTop="1" thickBot="1" x14ac:dyDescent="0.35">
      <c r="A35" s="30"/>
      <c r="B35" s="136" t="s">
        <v>191</v>
      </c>
      <c r="C35" s="137"/>
      <c r="D35" s="138"/>
      <c r="E35" s="31"/>
      <c r="F35" s="32"/>
      <c r="G35" s="31"/>
      <c r="H35" s="31"/>
      <c r="I35" s="31"/>
      <c r="J35" s="31"/>
    </row>
    <row r="36" spans="1:10" ht="15" thickTop="1" x14ac:dyDescent="0.2">
      <c r="A36" s="30"/>
      <c r="B36" s="64" t="s">
        <v>155</v>
      </c>
      <c r="C36" s="54">
        <f>IF(is_imp,'Input data'!N8/0.305,'Input data'!N8)</f>
        <v>184.43306477421163</v>
      </c>
      <c r="D36" s="66" t="str">
        <f>IF(is_imp,"ft from ground level (z)","m from ground level (z)")</f>
        <v>m from ground level (z)</v>
      </c>
      <c r="E36" s="31"/>
      <c r="F36" s="32"/>
      <c r="G36" s="31"/>
      <c r="H36" s="31"/>
      <c r="I36" s="31"/>
      <c r="J36" s="31"/>
    </row>
    <row r="37" spans="1:10" ht="14.25" x14ac:dyDescent="0.2">
      <c r="A37" s="30"/>
      <c r="B37" s="64" t="s">
        <v>142</v>
      </c>
      <c r="C37" s="54">
        <f>IF(is_shell,(IF(is_imp,Fallout!Q31/0.305,Fallout!Q31)),"")</f>
        <v>115.67167753459002</v>
      </c>
      <c r="D37" s="66" t="str">
        <f>IF(is_shell,IF(is_imp,D44,D44),"")</f>
        <v>m from origin (x/y)</v>
      </c>
      <c r="E37" s="31"/>
      <c r="F37" s="32"/>
      <c r="G37" s="31"/>
      <c r="H37" s="31"/>
      <c r="I37" s="31"/>
      <c r="J37" s="31"/>
    </row>
    <row r="38" spans="1:10" ht="14.25" x14ac:dyDescent="0.2">
      <c r="A38" s="30"/>
      <c r="B38" s="64" t="str">
        <f>IF(is_shell,"Max Long Burn range (approx)","")</f>
        <v>Max Long Burn range (approx)</v>
      </c>
      <c r="C38" s="54">
        <f>IF(is_shell,(IF(is_imp,Fallout!Q32/0.305,Fallout!Q32)),"")</f>
        <v>195.09313511230044</v>
      </c>
      <c r="D38" s="66" t="str">
        <f>IF(is_shell,IF(is_imp,D44,D44),"")</f>
        <v>m from origin (x/y)</v>
      </c>
      <c r="E38" s="31"/>
      <c r="F38" s="32"/>
      <c r="G38" s="31"/>
      <c r="H38" s="31"/>
      <c r="I38" s="31"/>
      <c r="J38" s="31"/>
    </row>
    <row r="39" spans="1:10" ht="14.25" x14ac:dyDescent="0.2">
      <c r="A39" s="30"/>
      <c r="B39" s="64" t="str">
        <f>IF(is_shell,"Approx Burst Diameter","")</f>
        <v>Approx Burst Diameter</v>
      </c>
      <c r="C39" s="57">
        <f>IF(is_shell,+'Input data'!N20*2,"")</f>
        <v>100</v>
      </c>
      <c r="D39" s="66" t="str">
        <f>IF(is_shell,IF(is_imp,"ft","m"),"")</f>
        <v>m</v>
      </c>
      <c r="E39" s="31"/>
      <c r="F39" s="32"/>
      <c r="G39" s="31"/>
      <c r="H39" s="31"/>
      <c r="I39" s="31"/>
      <c r="J39" s="31"/>
    </row>
    <row r="40" spans="1:10" ht="14.25" x14ac:dyDescent="0.2">
      <c r="A40" s="30"/>
      <c r="B40" s="64" t="str">
        <f>IF(is_shell,IF(is_imp,"Ascent Time","Ascent Time"),"")</f>
        <v>Ascent Time</v>
      </c>
      <c r="C40" s="58">
        <f>IF(is_shell,'Input data'!N5,"")</f>
        <v>5.1999999999999975</v>
      </c>
      <c r="D40" s="67" t="str">
        <f>IF(is_shell,IF(is_imp,"s","s"),"")</f>
        <v>s</v>
      </c>
      <c r="E40" s="31"/>
      <c r="F40" s="32"/>
      <c r="G40" s="31"/>
      <c r="H40" s="31"/>
      <c r="I40" s="31"/>
      <c r="J40" s="31"/>
    </row>
    <row r="41" spans="1:10" ht="14.25" x14ac:dyDescent="0.2">
      <c r="A41" s="30"/>
      <c r="B41" s="64" t="str">
        <f>IF(is_shell,"Burst Time","Effect Duration")</f>
        <v>Burst Time</v>
      </c>
      <c r="C41" s="58">
        <f>IF(Fuse_Delay&gt;0,Fuse_Delay,VLOOKUP(C4,shell_data,7))</f>
        <v>5.2</v>
      </c>
      <c r="D41" s="66" t="s">
        <v>42</v>
      </c>
      <c r="E41" s="31"/>
      <c r="F41" s="32"/>
      <c r="G41" s="31"/>
      <c r="H41" s="31"/>
      <c r="I41" s="31"/>
      <c r="J41" s="31"/>
    </row>
    <row r="42" spans="1:10" ht="14.25" x14ac:dyDescent="0.2">
      <c r="A42" s="30"/>
      <c r="B42" s="64" t="s">
        <v>126</v>
      </c>
      <c r="C42" s="54">
        <f>IF(is_imp,'Input data'!N10/0.305,'Input data'!N10)</f>
        <v>36.25021995687959</v>
      </c>
      <c r="D42" s="66" t="str">
        <f>IF(is_imp,"ft","m")</f>
        <v>m</v>
      </c>
      <c r="E42" s="31"/>
      <c r="F42" s="32"/>
      <c r="G42" s="31"/>
      <c r="H42" s="31"/>
      <c r="I42" s="31"/>
      <c r="J42" s="31"/>
    </row>
    <row r="43" spans="1:10" ht="14.25" x14ac:dyDescent="0.2">
      <c r="A43" s="30"/>
      <c r="B43" s="64" t="s">
        <v>127</v>
      </c>
      <c r="C43" s="54">
        <f>IF(is_imp,'Input data'!N12/0.305,'Input data'!N12)</f>
        <v>184.14571015115405</v>
      </c>
      <c r="D43" s="66" t="str">
        <f>IF(is_imp,"ft","m")</f>
        <v>m</v>
      </c>
      <c r="E43" s="31"/>
      <c r="F43" s="32"/>
      <c r="G43" s="31"/>
      <c r="H43" s="31"/>
      <c r="I43" s="31"/>
      <c r="J43" s="31"/>
    </row>
    <row r="44" spans="1:10" ht="14.25" x14ac:dyDescent="0.2">
      <c r="A44" s="30"/>
      <c r="B44" s="64" t="s">
        <v>30</v>
      </c>
      <c r="C44" s="54">
        <f>ROUND(IF(is_imp,'Input data'!N7/0.305,'Input data'!N7),0)</f>
        <v>80</v>
      </c>
      <c r="D44" s="66" t="str">
        <f>IF(is_imp,"ft from origin (x/y)","m from origin (x/y)")</f>
        <v>m from origin (x/y)</v>
      </c>
      <c r="E44" s="31"/>
      <c r="F44" s="32"/>
      <c r="G44" s="31"/>
      <c r="H44" s="31"/>
      <c r="I44" s="31"/>
      <c r="J44" s="31"/>
    </row>
    <row r="45" spans="1:10" ht="14.25" x14ac:dyDescent="0.2">
      <c r="A45" s="30"/>
      <c r="B45" s="64" t="str">
        <f>IF(is_comet,"Time at All Burnt","Max Flight Time (shell does not burst)")</f>
        <v>Max Flight Time (shell does not burst)</v>
      </c>
      <c r="C45" s="58">
        <f>IF(is_comet,'Input data'!$N$14,'Input data'!N6)</f>
        <v>14.899999999999963</v>
      </c>
      <c r="D45" s="66" t="s">
        <v>42</v>
      </c>
      <c r="E45" s="31"/>
      <c r="F45" s="32"/>
      <c r="G45" s="31"/>
      <c r="H45" s="31"/>
      <c r="I45" s="31"/>
      <c r="J45" s="31"/>
    </row>
    <row r="46" spans="1:10" ht="14.25" x14ac:dyDescent="0.2">
      <c r="A46" s="30"/>
      <c r="B46" s="64" t="s">
        <v>156</v>
      </c>
      <c r="C46" s="54">
        <f>+'Input data'!B7</f>
        <v>125</v>
      </c>
      <c r="D46" s="66" t="str">
        <f>IF(is_imp,"ft/s","m/s")</f>
        <v>m/s</v>
      </c>
      <c r="E46" s="31"/>
      <c r="F46" s="32"/>
      <c r="G46" s="31"/>
      <c r="H46" s="31"/>
      <c r="I46" s="31"/>
      <c r="J46" s="31"/>
    </row>
    <row r="47" spans="1:10" ht="15" thickBot="1" x14ac:dyDescent="0.25">
      <c r="A47" s="30"/>
      <c r="B47" s="65" t="str">
        <f>IF(is_shell,"Calculated Shell Mass","Calculated Comet Mass")</f>
        <v>Calculated Shell Mass</v>
      </c>
      <c r="C47" s="61">
        <f>ROUND(IF(C14="",IF(is_imp,'Input data'!B21/0.454,'Input data'!B21*1000),'ShellCalc© Program'!C14),0)</f>
        <v>407</v>
      </c>
      <c r="D47" s="68" t="str">
        <f>IF(is_imp,"lb","g")</f>
        <v>g</v>
      </c>
      <c r="E47" s="31"/>
      <c r="F47" s="32"/>
      <c r="G47" s="31"/>
      <c r="H47" s="31"/>
      <c r="I47" s="31"/>
      <c r="J47" s="31"/>
    </row>
    <row r="48" spans="1:10" ht="13.5" thickTop="1" x14ac:dyDescent="0.2">
      <c r="A48" s="30"/>
      <c r="B48" s="31"/>
      <c r="C48" s="31"/>
      <c r="D48" s="31"/>
      <c r="E48" s="31"/>
      <c r="F48" s="32"/>
      <c r="G48" s="31"/>
      <c r="H48" s="31"/>
      <c r="I48" s="31"/>
      <c r="J48" s="31"/>
    </row>
    <row r="49" spans="1:10" ht="13.5" thickBot="1" x14ac:dyDescent="0.25">
      <c r="A49" s="30"/>
      <c r="B49" s="31"/>
      <c r="C49" s="31"/>
      <c r="D49" s="31"/>
      <c r="E49" s="31"/>
      <c r="F49" s="32"/>
      <c r="G49" s="31"/>
      <c r="H49" s="31"/>
      <c r="I49" s="31"/>
      <c r="J49" s="31"/>
    </row>
    <row r="50" spans="1:10" x14ac:dyDescent="0.2">
      <c r="A50" s="30"/>
      <c r="B50" s="140" t="s">
        <v>247</v>
      </c>
      <c r="C50" s="141"/>
      <c r="D50" s="142"/>
      <c r="E50" s="31"/>
      <c r="F50" s="32"/>
      <c r="G50" s="31"/>
      <c r="H50" s="31"/>
      <c r="I50" s="31"/>
      <c r="J50" s="31"/>
    </row>
    <row r="51" spans="1:10" x14ac:dyDescent="0.2">
      <c r="A51" s="30"/>
      <c r="B51" s="143"/>
      <c r="C51" s="144"/>
      <c r="D51" s="145"/>
      <c r="E51" s="31"/>
      <c r="F51" s="32"/>
      <c r="G51" s="31"/>
      <c r="H51" s="31"/>
      <c r="I51" s="31"/>
      <c r="J51" s="31"/>
    </row>
    <row r="52" spans="1:10" x14ac:dyDescent="0.2">
      <c r="A52" s="30"/>
      <c r="B52" s="143"/>
      <c r="C52" s="144"/>
      <c r="D52" s="145"/>
      <c r="E52" s="31"/>
      <c r="F52" s="32"/>
      <c r="G52" s="31"/>
      <c r="H52" s="31"/>
      <c r="I52" s="31"/>
      <c r="J52" s="31"/>
    </row>
    <row r="53" spans="1:10" x14ac:dyDescent="0.2">
      <c r="A53" s="30"/>
      <c r="B53" s="143"/>
      <c r="C53" s="144"/>
      <c r="D53" s="145"/>
      <c r="E53" s="31"/>
      <c r="F53" s="32"/>
      <c r="G53" s="31"/>
      <c r="H53" s="31"/>
      <c r="I53" s="31"/>
      <c r="J53" s="31"/>
    </row>
    <row r="54" spans="1:10" x14ac:dyDescent="0.2">
      <c r="A54" s="30"/>
      <c r="B54" s="143"/>
      <c r="C54" s="144"/>
      <c r="D54" s="145"/>
      <c r="E54" s="31"/>
      <c r="F54" s="32"/>
      <c r="G54" s="31"/>
      <c r="H54" s="31"/>
      <c r="I54" s="31"/>
      <c r="J54" s="31"/>
    </row>
    <row r="55" spans="1:10" x14ac:dyDescent="0.2">
      <c r="A55" s="30"/>
      <c r="B55" s="143"/>
      <c r="C55" s="144"/>
      <c r="D55" s="145"/>
      <c r="E55" s="31"/>
      <c r="F55" s="32"/>
      <c r="G55" s="31"/>
      <c r="H55" s="31"/>
      <c r="I55" s="31"/>
      <c r="J55" s="31"/>
    </row>
    <row r="56" spans="1:10" x14ac:dyDescent="0.2">
      <c r="A56" s="30"/>
      <c r="B56" s="143"/>
      <c r="C56" s="144"/>
      <c r="D56" s="145"/>
      <c r="E56" s="31"/>
      <c r="F56" s="32"/>
      <c r="G56" s="31"/>
      <c r="H56" s="31"/>
      <c r="I56" s="31"/>
      <c r="J56" s="31"/>
    </row>
    <row r="57" spans="1:10" ht="13.5" thickBot="1" x14ac:dyDescent="0.25">
      <c r="A57" s="30"/>
      <c r="B57" s="146"/>
      <c r="C57" s="147"/>
      <c r="D57" s="148"/>
      <c r="E57" s="31"/>
      <c r="F57" s="32"/>
      <c r="G57" s="31"/>
      <c r="H57" s="31"/>
      <c r="I57" s="31"/>
      <c r="J57" s="31"/>
    </row>
  </sheetData>
  <sheetProtection password="DC79" sheet="1" objects="1" scenarios="1"/>
  <mergeCells count="7">
    <mergeCell ref="B2:D2"/>
    <mergeCell ref="B35:D35"/>
    <mergeCell ref="B1:D1"/>
    <mergeCell ref="B50:D57"/>
    <mergeCell ref="B10:D10"/>
    <mergeCell ref="B22:D22"/>
    <mergeCell ref="B19:D19"/>
  </mergeCells>
  <phoneticPr fontId="0" type="noConversion"/>
  <dataValidations xWindow="1122" yWindow="297" count="14">
    <dataValidation allowBlank="1" showErrorMessage="1" promptTitle="Muzzle Velocity" prompt="Typical values lie in the range 100-120 m/s, 340-400 ft/s" sqref="C12"/>
    <dataValidation allowBlank="1" showErrorMessage="1" promptTitle="Elevation" prompt="Input estimated height of the launch site above mean sea level (AMSL)" sqref="C17"/>
    <dataValidation type="decimal" allowBlank="1" showErrorMessage="1" errorTitle="Incorrect value" error="Please enter a value between 0 and 999s" promptTitle="Fuse Delay/Burning Time" prompt="Time taken from launch to burst or comet all-burnt.  Enter if known.  Enter 999 to allow shell/comet to hit ground" sqref="C16 C13">
      <formula1>0</formula1>
      <formula2>999</formula2>
    </dataValidation>
    <dataValidation allowBlank="1" showErrorMessage="1" promptTitle="Wind Direction" prompt="Enter any angle for instance:_x000a__x000a_0 = tailwind_x000a_180 = headwind_x000a_90 = wind from right_x000a_-90 = wind from left" sqref="C8"/>
    <dataValidation allowBlank="1" showErrorMessage="1" promptTitle="Shell/Comet Mass" prompt="Enter mass if known, otherwise leave blank" sqref="C14:C15"/>
    <dataValidation type="list" allowBlank="1" showErrorMessage="1" promptTitle="Shell Drift" prompt="Select whether to allow for shell drift caused by shell tumbling and bore balloting" sqref="C6">
      <formula1>drift</formula1>
    </dataValidation>
    <dataValidation type="list" allowBlank="1" showErrorMessage="1" promptTitle="Type" prompt="Select COMET or SHELL from dropdown list -this affects whether a shell burst is illustrated (shell) or if the projectile is self-consuming (comet)" sqref="C3">
      <formula1>types</formula1>
    </dataValidation>
    <dataValidation allowBlank="1" showErrorMessage="1" promptTitle="Height of Launch" prompt="Insert height of firng point above ground level (for instance for displays from structures)" sqref="C11"/>
    <dataValidation allowBlank="1" showErrorMessage="1" promptTitle="Angle" prompt="Enter firing angle from vertical - eg_x000a_0=vertically upwards_x000a_90 = horizontal_x000a_180=vertically downwards" sqref="C5"/>
    <dataValidation type="list" allowBlank="1" showErrorMessage="1" promptTitle="Diameter" prompt="Select diameter of shell or comet from drop down list" sqref="C4">
      <formula1>shell_size</formula1>
    </dataValidation>
    <dataValidation allowBlank="1" showErrorMessage="1" promptTitle="Wind speed" prompt="Enter the wind speed at ground level" sqref="C7"/>
    <dataValidation type="list" allowBlank="1" showErrorMessage="1" promptTitle="Show Fallout" prompt="Select if to show fallout (only relevant for shells/bombettes)" sqref="C23:C24">
      <formula1>showfallout</formula1>
    </dataValidation>
    <dataValidation type="list" allowBlank="1" showInputMessage="1" showErrorMessage="1" promptTitle="Terrain Category" prompt="Select the appropriate Terrain Category (rarely used):_x000a__x000a_2 for open spaces and water_x000a_3 for sports grounds and built up areas" sqref="C18 C21">
      <formula1>#REF!</formula1>
    </dataValidation>
    <dataValidation type="list" allowBlank="1" showErrorMessage="1" promptTitle="Terrain Category" prompt="Select the appropriate Terrain Category (rarely used):_x000a__x000a_2 for open spaces and water_x000a_3 for sports grounds and built up areas" sqref="C20">
      <formula1>#REF!</formula1>
    </dataValidation>
  </dataValidations>
  <hyperlinks>
    <hyperlink ref="B1:D1" r:id="rId1" display="SHELLCALC© v4.1.2"/>
  </hyperlinks>
  <pageMargins left="0.74803149606299213" right="0.74803149606299213" top="0.51181102362204722" bottom="0.51181102362204722" header="0.51181102362204722" footer="0.51181102362204722"/>
  <pageSetup paperSize="9" scale="78" orientation="landscape" r:id="rId2"/>
  <headerFooter alignWithMargins="0">
    <oddFooter>Page &amp;P&amp;RSHELLCALC_v4.11.xlsm</oddFooter>
  </headerFooter>
  <ignoredErrors>
    <ignoredError sqref="D39" 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</sheetPr>
  <dimension ref="A1:X38"/>
  <sheetViews>
    <sheetView workbookViewId="0">
      <selection activeCell="B6" sqref="B6"/>
    </sheetView>
  </sheetViews>
  <sheetFormatPr defaultRowHeight="12.75" x14ac:dyDescent="0.2"/>
  <cols>
    <col min="1" max="1" width="29.85546875" customWidth="1"/>
  </cols>
  <sheetData>
    <row r="1" spans="1:24" ht="20.25" x14ac:dyDescent="0.3">
      <c r="A1" s="17" t="s">
        <v>133</v>
      </c>
    </row>
    <row r="2" spans="1:24" x14ac:dyDescent="0.2">
      <c r="A2" s="23">
        <v>41066</v>
      </c>
    </row>
    <row r="4" spans="1:24" ht="14.25" x14ac:dyDescent="0.2">
      <c r="B4" s="52" t="s">
        <v>96</v>
      </c>
    </row>
    <row r="5" spans="1:24" x14ac:dyDescent="0.2">
      <c r="M5" s="4" t="s">
        <v>34</v>
      </c>
      <c r="N5" s="3">
        <f>MAX(Calculations!AB7:AB235)</f>
        <v>5.1999999999999975</v>
      </c>
    </row>
    <row r="6" spans="1:24" x14ac:dyDescent="0.2">
      <c r="A6" s="1" t="s">
        <v>24</v>
      </c>
      <c r="B6" s="1" t="str">
        <f>'ShellCalc© Program'!C4</f>
        <v>4" (100mm)</v>
      </c>
      <c r="H6" s="5" t="s">
        <v>275</v>
      </c>
      <c r="M6" s="4" t="s">
        <v>33</v>
      </c>
      <c r="N6" s="3">
        <f>MAX(Calculations!AA7:AA236)</f>
        <v>14.899999999999963</v>
      </c>
    </row>
    <row r="7" spans="1:24" x14ac:dyDescent="0.2">
      <c r="A7" s="1" t="s">
        <v>0</v>
      </c>
      <c r="B7" s="1">
        <f>IF(is_imp,E7*0.305,E7)</f>
        <v>125</v>
      </c>
      <c r="C7" t="s">
        <v>23</v>
      </c>
      <c r="E7">
        <f>+J37</f>
        <v>125</v>
      </c>
      <c r="H7">
        <f>VLOOKUP(B6,shell_data1,8,0)</f>
        <v>125</v>
      </c>
      <c r="M7" s="4" t="s">
        <v>30</v>
      </c>
      <c r="N7">
        <f>SQRT(P7*P7+Q7*Q7)</f>
        <v>80.034601194491032</v>
      </c>
      <c r="P7" s="2">
        <f>MAX(Calculations!V6:V235)</f>
        <v>80.034601194491032</v>
      </c>
      <c r="Q7" s="2">
        <f>MAX(Calculations!W6:W235)</f>
        <v>0</v>
      </c>
      <c r="R7" s="2"/>
      <c r="S7" s="2"/>
      <c r="T7" s="2"/>
      <c r="U7" s="2"/>
      <c r="V7" s="2"/>
      <c r="W7" s="2"/>
      <c r="X7" s="2"/>
    </row>
    <row r="8" spans="1:24" x14ac:dyDescent="0.2">
      <c r="A8" s="5" t="s">
        <v>1</v>
      </c>
      <c r="B8" s="5">
        <f>90-B11</f>
        <v>86</v>
      </c>
      <c r="M8" s="4" t="s">
        <v>28</v>
      </c>
      <c r="N8" s="2">
        <f>MAX(Calculations!P6:P235)</f>
        <v>184.43306477421163</v>
      </c>
    </row>
    <row r="9" spans="1:24" x14ac:dyDescent="0.2">
      <c r="A9" s="1" t="s">
        <v>26</v>
      </c>
      <c r="B9" s="1">
        <f>IF(is_imp,'ShellCalc© Program'!C7/1.944,'ShellCalc© Program'!C7)</f>
        <v>15</v>
      </c>
      <c r="M9" s="4" t="s">
        <v>31</v>
      </c>
      <c r="N9" s="2">
        <f>MAX(Calculations!O6:O235)</f>
        <v>0</v>
      </c>
    </row>
    <row r="10" spans="1:24" x14ac:dyDescent="0.2">
      <c r="A10" s="1" t="s">
        <v>5</v>
      </c>
      <c r="B10" s="1">
        <f>'ShellCalc© Program'!C8</f>
        <v>0</v>
      </c>
      <c r="C10" t="s">
        <v>35</v>
      </c>
      <c r="M10" s="4" t="s">
        <v>50</v>
      </c>
      <c r="N10" s="9">
        <f>IF(Fallout!B22=1,Q22,IF(is_shell,SUM(Calculations!AC7:AC235),MIN(Calculations!AG7:AG235)+MAX(Calculations!AG7:AG235)))</f>
        <v>36.25021995687959</v>
      </c>
      <c r="P10">
        <f>MAX(Calculations!AG7:AG235)</f>
        <v>0</v>
      </c>
      <c r="R10">
        <f>MIN(Calculations!AG7:AG235)</f>
        <v>0</v>
      </c>
    </row>
    <row r="11" spans="1:24" x14ac:dyDescent="0.2">
      <c r="A11" s="1" t="s">
        <v>36</v>
      </c>
      <c r="B11" s="1">
        <f>+D11+D15</f>
        <v>4</v>
      </c>
      <c r="D11" s="1">
        <f>'ShellCalc© Program'!C5</f>
        <v>0</v>
      </c>
      <c r="M11" s="4" t="s">
        <v>51</v>
      </c>
      <c r="N11" s="9">
        <f>IF(Fallout!B22=1,Q23,IF(is_shell,SUM(Calculations!AD7:AD235),MIN(Calculations!AH7:AH235)+MAX(Calculations!AH7:AH235)))</f>
        <v>0</v>
      </c>
      <c r="P11">
        <f>MAX(Calculations!AH7:AH235)</f>
        <v>0</v>
      </c>
      <c r="R11">
        <f>MIN(Calculations!AH7:AH235)</f>
        <v>0</v>
      </c>
    </row>
    <row r="12" spans="1:24" x14ac:dyDescent="0.2">
      <c r="A12" s="1" t="s">
        <v>37</v>
      </c>
      <c r="B12" s="1">
        <f>IF(is_imp,'ShellCalc© Program'!C17*0.305,'ShellCalc© Program'!C17)</f>
        <v>0</v>
      </c>
      <c r="M12" s="4" t="s">
        <v>52</v>
      </c>
      <c r="N12" s="9">
        <f>IF(Fallout!B22=1,0,IF(is_shell,SUM(Calculations!AE7:AE235),MAX(Calculations!AI7:AI235)))</f>
        <v>184.14571015115405</v>
      </c>
      <c r="P12">
        <f>MAX(Calculations!AI7:AI235)</f>
        <v>0</v>
      </c>
      <c r="R12">
        <f>MIN(Calculations!AH7:AH235)</f>
        <v>0</v>
      </c>
    </row>
    <row r="13" spans="1:24" x14ac:dyDescent="0.2">
      <c r="A13" s="1" t="s">
        <v>39</v>
      </c>
      <c r="B13" s="1">
        <f>'ShellCalc© Program'!C20</f>
        <v>2</v>
      </c>
      <c r="M13" s="4" t="s">
        <v>71</v>
      </c>
    </row>
    <row r="14" spans="1:24" x14ac:dyDescent="0.2">
      <c r="A14" s="8" t="s">
        <v>49</v>
      </c>
      <c r="B14" s="10">
        <f>IF(Fuse_Delay="",D14,Fuse_Delay)</f>
        <v>5.2</v>
      </c>
      <c r="D14">
        <f>VLOOKUP(B6,Shelldata!A6:G20,7,FALSE)</f>
        <v>5.2</v>
      </c>
      <c r="M14" s="4" t="s">
        <v>72</v>
      </c>
      <c r="N14">
        <f>MIN(Calculations!AJ7:AJ234)-0.1</f>
        <v>2999.9</v>
      </c>
    </row>
    <row r="15" spans="1:24" x14ac:dyDescent="0.2">
      <c r="A15" s="1" t="s">
        <v>92</v>
      </c>
      <c r="B15" s="14" t="str">
        <f>+'ShellCalc© Program'!C6</f>
        <v>Typical</v>
      </c>
      <c r="D15" s="21">
        <f>IF(B15="extreme",DropdownsHelp!B17,IF(B15="major",DropdownsHelp!B16,IF(B15="typical",DropdownsHelp!B15,IF(B15="minor",DropdownsHelp!B14,DropdownsHelp!B13))))</f>
        <v>4</v>
      </c>
    </row>
    <row r="16" spans="1:24" x14ac:dyDescent="0.2">
      <c r="A16" s="22" t="s">
        <v>105</v>
      </c>
      <c r="B16">
        <f>+'ShellCalc© Program'!C11</f>
        <v>0</v>
      </c>
      <c r="M16" s="4" t="s">
        <v>87</v>
      </c>
      <c r="N16">
        <f>IF(B17&gt;0,B17,VLOOKUP(B6,Shelldata!A6:I20,9,FALSE))</f>
        <v>100</v>
      </c>
    </row>
    <row r="17" spans="1:17" x14ac:dyDescent="0.2">
      <c r="A17" s="22" t="s">
        <v>190</v>
      </c>
      <c r="B17">
        <f>+Shell_Burst_Diameter</f>
        <v>0</v>
      </c>
      <c r="M17" s="4"/>
    </row>
    <row r="18" spans="1:17" x14ac:dyDescent="0.2">
      <c r="A18" s="22" t="s">
        <v>258</v>
      </c>
      <c r="B18">
        <f>+Shell_Burst_Height</f>
        <v>0</v>
      </c>
      <c r="M18" s="4"/>
    </row>
    <row r="19" spans="1:17" x14ac:dyDescent="0.2">
      <c r="A19" t="s">
        <v>2</v>
      </c>
      <c r="B19">
        <f>VLOOKUP(B6,Shelldata!A6:E20,5,FALSE)</f>
        <v>0.5041638258704968</v>
      </c>
      <c r="M19" t="s">
        <v>84</v>
      </c>
      <c r="N19">
        <f>IF(is_imp,N16*N22,N16)</f>
        <v>100</v>
      </c>
    </row>
    <row r="20" spans="1:17" x14ac:dyDescent="0.2">
      <c r="A20" t="s">
        <v>3</v>
      </c>
      <c r="B20">
        <f>VLOOKUP(B6,Shelldata!A6:B20,2,FALSE)</f>
        <v>100</v>
      </c>
      <c r="M20" t="s">
        <v>85</v>
      </c>
      <c r="N20">
        <f>IF(B26="C",0,N19/2)</f>
        <v>50</v>
      </c>
    </row>
    <row r="21" spans="1:17" x14ac:dyDescent="0.2">
      <c r="A21" t="s">
        <v>4</v>
      </c>
      <c r="B21">
        <f>IF('ShellCalc© Program'!C14="",VLOOKUP(B6,Shelldata!A6:C20,3,FALSE),IF(is_imp="I",'ShellCalc© Program'!C14/2.205,'ShellCalc© Program'!C14/1000))</f>
        <v>0.40680208090393727</v>
      </c>
    </row>
    <row r="22" spans="1:17" x14ac:dyDescent="0.2">
      <c r="A22" t="s">
        <v>19</v>
      </c>
      <c r="B22">
        <f>3.14159265*(B20/2000)^2</f>
        <v>7.8539816250000026E-3</v>
      </c>
      <c r="M22" s="4" t="s">
        <v>88</v>
      </c>
      <c r="N22">
        <f>1/(2.54*3)</f>
        <v>0.13123359580052493</v>
      </c>
      <c r="P22" s="5" t="s">
        <v>163</v>
      </c>
      <c r="Q22">
        <f>MAX(Calculations!T7:T235)</f>
        <v>80.034601194491032</v>
      </c>
    </row>
    <row r="23" spans="1:17" x14ac:dyDescent="0.2">
      <c r="A23" t="s">
        <v>20</v>
      </c>
      <c r="B23">
        <v>9.8049999999999997</v>
      </c>
      <c r="P23" s="5" t="s">
        <v>168</v>
      </c>
      <c r="Q23">
        <f>MAX(Calculations!U7:U235)</f>
        <v>0</v>
      </c>
    </row>
    <row r="24" spans="1:17" x14ac:dyDescent="0.2">
      <c r="A24" t="s">
        <v>18</v>
      </c>
      <c r="B24">
        <v>0.1</v>
      </c>
      <c r="L24" t="s">
        <v>89</v>
      </c>
      <c r="P24" s="5" t="s">
        <v>169</v>
      </c>
    </row>
    <row r="25" spans="1:17" x14ac:dyDescent="0.2">
      <c r="A25" t="s">
        <v>25</v>
      </c>
      <c r="B25" s="1">
        <f>B9*1000/3600</f>
        <v>4.166666666666667</v>
      </c>
    </row>
    <row r="26" spans="1:17" x14ac:dyDescent="0.2">
      <c r="A26" t="s">
        <v>68</v>
      </c>
      <c r="B26" s="11" t="str">
        <f>LEFT(D26,1)</f>
        <v>S</v>
      </c>
      <c r="D26" s="11" t="str">
        <f>'ShellCalc© Program'!C3</f>
        <v>Shells/Bombettes</v>
      </c>
      <c r="G26" s="15">
        <f>IF(B26="c",1,0)</f>
        <v>0</v>
      </c>
      <c r="H26" s="15">
        <f>IF(B26="s",1,0)</f>
        <v>1</v>
      </c>
      <c r="M26" t="s">
        <v>104</v>
      </c>
      <c r="N26">
        <v>-100</v>
      </c>
    </row>
    <row r="27" spans="1:17" x14ac:dyDescent="0.2">
      <c r="A27" t="s">
        <v>69</v>
      </c>
      <c r="B27" s="11" t="str">
        <f>LEFT(D27,1)</f>
        <v>M</v>
      </c>
      <c r="D27" s="11" t="str">
        <f>'Input data'!B4</f>
        <v>Metric</v>
      </c>
      <c r="G27" s="15">
        <f>IF(B27="i",1,0)</f>
        <v>0</v>
      </c>
      <c r="H27" s="15">
        <f>IF(B27="m",1,0)</f>
        <v>1</v>
      </c>
    </row>
    <row r="28" spans="1:17" x14ac:dyDescent="0.2">
      <c r="A28" t="s">
        <v>70</v>
      </c>
      <c r="B28">
        <f>IF(is_comet,IF('ShellCalc© Program'!C13&lt;&gt;"",'Input data'!B20/(6000*'ShellCalc© Program'!C13),0.00143),0)</f>
        <v>0</v>
      </c>
    </row>
    <row r="29" spans="1:17" x14ac:dyDescent="0.2">
      <c r="A29" s="16" t="s">
        <v>100</v>
      </c>
    </row>
    <row r="32" spans="1:17" x14ac:dyDescent="0.2">
      <c r="A32" s="5" t="s">
        <v>260</v>
      </c>
      <c r="B32">
        <v>0.99109999999999998</v>
      </c>
      <c r="C32">
        <f>+LN(N16)</f>
        <v>4.6051701859880918</v>
      </c>
      <c r="D32" s="5" t="s">
        <v>263</v>
      </c>
    </row>
    <row r="33" spans="1:10" x14ac:dyDescent="0.2">
      <c r="A33" s="5" t="s">
        <v>261</v>
      </c>
      <c r="B33">
        <v>-3.0821999999999998</v>
      </c>
      <c r="D33" s="5" t="s">
        <v>263</v>
      </c>
    </row>
    <row r="35" spans="1:10" x14ac:dyDescent="0.2">
      <c r="A35" s="5" t="s">
        <v>262</v>
      </c>
      <c r="B35">
        <f>(C32*B32)+B33</f>
        <v>1.4819841713327979</v>
      </c>
    </row>
    <row r="36" spans="1:10" x14ac:dyDescent="0.2">
      <c r="A36" s="5" t="s">
        <v>270</v>
      </c>
      <c r="B36">
        <f>+B18/B35</f>
        <v>0</v>
      </c>
      <c r="F36" s="5"/>
    </row>
    <row r="37" spans="1:10" x14ac:dyDescent="0.2">
      <c r="A37" s="5" t="s">
        <v>273</v>
      </c>
      <c r="B37">
        <f>ROUND(B36,0)</f>
        <v>0</v>
      </c>
      <c r="F37" s="5">
        <f>IF(B37=0,0,1)</f>
        <v>0</v>
      </c>
      <c r="H37">
        <f>IF(F37,$B$37,$H$7)</f>
        <v>125</v>
      </c>
      <c r="J37">
        <f>IF(F37,H37,IF(F38,B38,H38))</f>
        <v>125</v>
      </c>
    </row>
    <row r="38" spans="1:10" x14ac:dyDescent="0.2">
      <c r="A38" s="5" t="s">
        <v>274</v>
      </c>
      <c r="B38">
        <f>+muzzle_velocity</f>
        <v>0</v>
      </c>
      <c r="F38" s="5">
        <f>IF(B38=0,0,1)</f>
        <v>0</v>
      </c>
      <c r="H38">
        <f>IF(F38,$B$37,$H$7)</f>
        <v>125</v>
      </c>
    </row>
  </sheetData>
  <sheetProtection password="DC79" sheet="1" objects="1" scenarios="1"/>
  <dataValidations count="1">
    <dataValidation type="list" allowBlank="1" showInputMessage="1" showErrorMessage="1" promptTitle="Units" prompt="Chose metric (km/h, mm, g) or imperial (mph, in, lb)" sqref="B4">
      <formula1>Units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DropdownsHelp!$B$22:$B$24</xm:f>
          </x14:formula1>
          <xm:sqref>B13</xm:sqref>
        </x14:dataValidation>
        <x14:dataValidation type="list" allowBlank="1" showInputMessage="1" showErrorMessage="1">
          <x14:formula1>
            <xm:f>Shelldata!$A$6:$A$20</xm:f>
          </x14:formula1>
          <xm:sqref>B6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</sheetPr>
  <dimension ref="A1:AZ235"/>
  <sheetViews>
    <sheetView topLeftCell="F1" zoomScale="115" zoomScaleNormal="115" workbookViewId="0">
      <selection activeCell="L37" sqref="L37"/>
    </sheetView>
  </sheetViews>
  <sheetFormatPr defaultRowHeight="12.75" x14ac:dyDescent="0.2"/>
  <cols>
    <col min="1" max="1" width="5.5703125" customWidth="1"/>
    <col min="2" max="2" width="10.140625" customWidth="1"/>
    <col min="3" max="3" width="8.140625" customWidth="1"/>
    <col min="4" max="4" width="9" customWidth="1"/>
    <col min="5" max="5" width="11.7109375" customWidth="1"/>
    <col min="6" max="7" width="4.7109375" customWidth="1"/>
    <col min="8" max="8" width="8.28515625" customWidth="1"/>
    <col min="9" max="9" width="8.85546875" customWidth="1"/>
    <col min="10" max="10" width="10.5703125" customWidth="1"/>
    <col min="11" max="11" width="8" customWidth="1"/>
    <col min="12" max="12" width="8.28515625" customWidth="1"/>
    <col min="13" max="13" width="8" customWidth="1"/>
    <col min="14" max="14" width="12.5703125" customWidth="1"/>
    <col min="15" max="15" width="10" customWidth="1"/>
    <col min="16" max="24" width="6.5703125" customWidth="1"/>
    <col min="25" max="26" width="4.7109375" customWidth="1"/>
    <col min="32" max="32" width="13.140625" bestFit="1" customWidth="1"/>
    <col min="40" max="40" width="13" customWidth="1"/>
  </cols>
  <sheetData>
    <row r="1" spans="1:52" x14ac:dyDescent="0.2">
      <c r="A1" s="5" t="s">
        <v>248</v>
      </c>
    </row>
    <row r="4" spans="1:52" x14ac:dyDescent="0.2">
      <c r="A4" t="s">
        <v>9</v>
      </c>
      <c r="B4" t="s">
        <v>6</v>
      </c>
      <c r="C4" t="s">
        <v>7</v>
      </c>
      <c r="D4" t="s">
        <v>8</v>
      </c>
      <c r="E4" t="s">
        <v>38</v>
      </c>
      <c r="F4" t="s">
        <v>53</v>
      </c>
      <c r="G4" t="s">
        <v>54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32</v>
      </c>
      <c r="P4" t="s">
        <v>17</v>
      </c>
      <c r="Q4" s="5" t="s">
        <v>164</v>
      </c>
      <c r="T4" s="5"/>
      <c r="U4" s="5"/>
      <c r="V4" s="73" t="s">
        <v>165</v>
      </c>
      <c r="W4" s="73" t="s">
        <v>167</v>
      </c>
      <c r="X4" s="73" t="s">
        <v>166</v>
      </c>
      <c r="Y4" t="s">
        <v>29</v>
      </c>
      <c r="Z4" t="s">
        <v>29</v>
      </c>
      <c r="AA4" t="s">
        <v>33</v>
      </c>
      <c r="AB4" t="s">
        <v>34</v>
      </c>
      <c r="AC4" t="s">
        <v>50</v>
      </c>
      <c r="AD4" t="s">
        <v>51</v>
      </c>
      <c r="AE4" t="s">
        <v>52</v>
      </c>
      <c r="AF4" t="s">
        <v>43</v>
      </c>
      <c r="AG4" t="s">
        <v>74</v>
      </c>
      <c r="AH4" t="s">
        <v>75</v>
      </c>
      <c r="AI4" t="s">
        <v>73</v>
      </c>
      <c r="AJ4" t="s">
        <v>72</v>
      </c>
      <c r="AK4" t="s">
        <v>77</v>
      </c>
    </row>
    <row r="5" spans="1:52" x14ac:dyDescent="0.2">
      <c r="M5">
        <v>0</v>
      </c>
      <c r="N5">
        <v>0</v>
      </c>
      <c r="O5">
        <v>0</v>
      </c>
      <c r="P5">
        <v>0</v>
      </c>
      <c r="V5" s="74"/>
      <c r="W5" s="74"/>
      <c r="X5" s="74"/>
      <c r="Y5">
        <v>0</v>
      </c>
      <c r="Z5">
        <v>0</v>
      </c>
    </row>
    <row r="6" spans="1:52" x14ac:dyDescent="0.2">
      <c r="M6">
        <f>IF(AF6&gt;0,IF(P5&lt;=2,M5,M5+(B7*'Input data'!$B$24)),M5)</f>
        <v>0</v>
      </c>
      <c r="N6">
        <v>0</v>
      </c>
      <c r="O6">
        <f t="shared" ref="O6:O69" si="0">ABS(N6)</f>
        <v>0</v>
      </c>
      <c r="P6">
        <f>+'Input data'!B16</f>
        <v>0</v>
      </c>
      <c r="V6" s="74"/>
      <c r="W6" s="74"/>
      <c r="X6" s="74"/>
      <c r="Y6">
        <v>0</v>
      </c>
      <c r="Z6">
        <v>0</v>
      </c>
    </row>
    <row r="7" spans="1:52" x14ac:dyDescent="0.2">
      <c r="A7">
        <v>0</v>
      </c>
      <c r="B7">
        <f>'Input data'!$B$7*COS(RADIANS('Input data'!$B$8))</f>
        <v>8.7195592180156538</v>
      </c>
      <c r="C7">
        <v>0</v>
      </c>
      <c r="D7">
        <f>'Input data'!$B$7*SIN(RADIANS('Input data'!$B$8))</f>
        <v>124.69550628247802</v>
      </c>
      <c r="E7">
        <f>IF('Input data'!$B$13=2,'Input data'!$B$25*((0.1036*LN(ABS(P6+1)))+0.8731),IF('Input data'!$B$13=3,'Input data'!$B$25*((0.139*LN(ABS(P6+1)))+0.7503),'Input data'!$B$25))</f>
        <v>3.6379166666666669</v>
      </c>
      <c r="F7">
        <f>E7*COS(RADIANS('Input data'!$B$10))</f>
        <v>3.6379166666666669</v>
      </c>
      <c r="G7">
        <f>E7*SIN(RADIANS('Input data'!$B$10))</f>
        <v>0</v>
      </c>
      <c r="H7">
        <f>1.22*EXP(-0.0001065*(P6+'Input data'!$B$12))</f>
        <v>1.22</v>
      </c>
      <c r="I7">
        <f t="shared" ref="I7:I70" si="1">SQRT(((B7-F7)^2)+((C7-G7)^2)+(D7^2))</f>
        <v>124.79900792098948</v>
      </c>
      <c r="J7">
        <f>-0.5*H7*I7*AK7*'Input data'!$B$19*(B7-F7)/AF7</f>
        <v>-3.7655071586301383</v>
      </c>
      <c r="K7">
        <f>-0.5*H7*I7*AK7*'Input data'!$B$19*(C7-G7)/AF7</f>
        <v>0</v>
      </c>
      <c r="L7">
        <f>(-0.5*H7*AK7*I7*'Input data'!$B$19*D7/AF7)-'Input data'!$B$23</f>
        <v>-102.20461622862169</v>
      </c>
      <c r="M7">
        <f>M6+(B8*'Input data'!B24)</f>
        <v>0.83430085021526412</v>
      </c>
      <c r="N7">
        <f>N6+(C8*'Input data'!B24)</f>
        <v>0</v>
      </c>
      <c r="O7">
        <f t="shared" si="0"/>
        <v>0</v>
      </c>
      <c r="P7">
        <f>P6+(D8*'Input data'!$B$24)</f>
        <v>11.447504465961586</v>
      </c>
      <c r="Q7">
        <f t="shared" ref="Q7:Q70" si="2">IF(P7=0,0,M7)</f>
        <v>0.83430085021526412</v>
      </c>
      <c r="T7">
        <f t="shared" ref="T7:T70" si="3">IF(X7=0,0,Q7)</f>
        <v>0.83430085021526412</v>
      </c>
      <c r="U7">
        <f t="shared" ref="U7:U70" si="4">IF(X7=0,0,N7)</f>
        <v>0</v>
      </c>
      <c r="V7" s="74">
        <f>IF(Q7=0,'Input data'!$Q$22,Q7)</f>
        <v>0.83430085021526412</v>
      </c>
      <c r="W7" s="74">
        <f>IF(U7=0,'Input data'!$Q$23,U7)</f>
        <v>0</v>
      </c>
      <c r="X7" s="74">
        <f t="shared" ref="X7:X30" si="5">+P7</f>
        <v>11.447504465961586</v>
      </c>
      <c r="Y7">
        <f>A8*'Input data'!$B$25*SIN(RADIANS('Input data'!$B$10))</f>
        <v>0</v>
      </c>
      <c r="Z7">
        <f>A8*'Input data'!$B$25*COS(RADIANS('Input data'!$B$10))</f>
        <v>0.41666666666666674</v>
      </c>
      <c r="AA7">
        <f>A8</f>
        <v>0.1</v>
      </c>
      <c r="AB7">
        <f>A8</f>
        <v>0.1</v>
      </c>
      <c r="AC7">
        <f>IF(ROUND(A7*10,3)='Input data'!$B$14*10,M7,0)</f>
        <v>0</v>
      </c>
      <c r="AD7">
        <f>IF(ROUND(A7*10,3)='Input data'!$B$14*10,N7,0)</f>
        <v>0</v>
      </c>
      <c r="AE7">
        <f>IF(ROUND(A7*10,3)='Input data'!$B$14*10,P7,0)</f>
        <v>0</v>
      </c>
      <c r="AF7">
        <f>IF('Input data'!$B$26="C",IF((3.14159265*1860/4)*((0.001*'Input data'!$B$20)-(2*'Input data'!$B$28*A7))^2*((0.33333*0.001*'Input data'!$B$20)-(2*'Input data'!$B$28*A7))&lt;0,(3.14159265*1860/4)*((0.001*'Input data'!$B$20)-(2*'Input data'!$B$28*A7))^2*((0.33333*0.001*'Input data'!$B$20)-(2*'Input data'!$B$28*A7)),(3.14159265*1860/4)*((0.001*'Input data'!$B$20)-(2*'Input data'!$B$28*A7))^2*((0.33333*0.001*'Input data'!$B$20)-(2*'Input data'!$B$28*A7))),'Input data'!$B$21)</f>
        <v>0.40680208090393727</v>
      </c>
      <c r="AG7">
        <f t="shared" ref="AG7:AG70" si="6">IF(AF7&lt;=0,M7,0)</f>
        <v>0</v>
      </c>
      <c r="AH7">
        <f t="shared" ref="AH7:AH70" si="7">IF(AF7&lt;=0,N7,0)</f>
        <v>0</v>
      </c>
      <c r="AI7">
        <f t="shared" ref="AI7:AI38" si="8">IF(AF7&lt;=0,P7,0)</f>
        <v>0</v>
      </c>
      <c r="AJ7">
        <f t="shared" ref="AJ7:AJ70" si="9">IF(AF7&lt;=0,AA7,3000)</f>
        <v>3000</v>
      </c>
      <c r="AK7">
        <f>IF('Input data'!$B$26="S",'Input data'!$B$22,3.1415*(('Input data'!$B$20*0.0005)-('Input data'!$B$28*A7))^2)</f>
        <v>7.8539816250000026E-3</v>
      </c>
      <c r="AW7" s="5"/>
      <c r="AX7" s="5"/>
      <c r="AY7" s="5"/>
      <c r="AZ7" s="5"/>
    </row>
    <row r="8" spans="1:52" x14ac:dyDescent="0.2">
      <c r="A8">
        <f>A7+'Input data'!$B$24</f>
        <v>0.1</v>
      </c>
      <c r="B8">
        <f>B7+(J7*'Input data'!$B$24)</f>
        <v>8.3430085021526406</v>
      </c>
      <c r="C8">
        <f>C7+(K7*'Input data'!$B$24)</f>
        <v>0</v>
      </c>
      <c r="D8">
        <f>D7+(L7*'Input data'!$B$24)</f>
        <v>114.47504465961585</v>
      </c>
      <c r="E8">
        <f>IF('Input data'!$B$13=2,'Input data'!$B$25*((0.1036*LN(ABS(P7+1)))+0.8731),IF('Input data'!$B$13=3,'Input data'!$B$25*((0.139*LN(ABS(P7+1)))+0.7503),'Input data'!$B$25))</f>
        <v>4.7263728683405839</v>
      </c>
      <c r="F8">
        <f>E8*COS(RADIANS('Input data'!$B$10))</f>
        <v>4.7263728683405839</v>
      </c>
      <c r="G8">
        <f>E8*SIN(RADIANS('Input data'!$B$10))</f>
        <v>0</v>
      </c>
      <c r="H8">
        <f>1.22*EXP(-0.0001065*(P7+'Input data'!$B$12))</f>
        <v>1.2185135320494129</v>
      </c>
      <c r="I8">
        <f t="shared" si="1"/>
        <v>114.532160999122</v>
      </c>
      <c r="J8">
        <f>-0.5*H8*I8*AK8*'Input data'!$B$19*(B8-F8)/AF8</f>
        <v>-2.4564671997195835</v>
      </c>
      <c r="K8">
        <f>-0.5*H8*I8*AK8*'Input data'!$B$19*(C8-G8)/AF8</f>
        <v>0</v>
      </c>
      <c r="L8">
        <f>(-0.5*H8*AK8*I8*'Input data'!$B$19*D8/AF8)-'Input data'!$B$23</f>
        <v>-87.557978421102945</v>
      </c>
      <c r="M8">
        <f>IF(AF8&gt;0,IF(P7&lt;=Param_1,M7,M7+(B9*'Input data'!$B$24)),M7)</f>
        <v>1.6440370284333325</v>
      </c>
      <c r="N8">
        <f>IF(AF8&gt;0,IF(P7&lt;=Param_1,N7,N7+(C9*'Input data'!$B$24)),N7)</f>
        <v>0</v>
      </c>
      <c r="O8">
        <f t="shared" si="0"/>
        <v>0</v>
      </c>
      <c r="P8">
        <f>IF(P7&lt;=-100000,0,IF(AF8&gt;0,IF(P7&lt;Param_1,P7,P7+(D9*'Input data'!$B$24)),P7))</f>
        <v>22.019429147712142</v>
      </c>
      <c r="Q8">
        <f t="shared" si="2"/>
        <v>1.6440370284333325</v>
      </c>
      <c r="T8">
        <f t="shared" si="3"/>
        <v>1.6440370284333325</v>
      </c>
      <c r="U8">
        <f t="shared" si="4"/>
        <v>0</v>
      </c>
      <c r="V8" s="74">
        <f>IF(X8=0,'Input data'!$Q$22,Q8)</f>
        <v>1.6440370284333325</v>
      </c>
      <c r="W8" s="74">
        <f>IF(U8=0,'Input data'!$Q$23,U8)</f>
        <v>0</v>
      </c>
      <c r="X8" s="74">
        <f t="shared" si="5"/>
        <v>22.019429147712142</v>
      </c>
      <c r="Y8">
        <f>IF(P7&lt;Param_1,Y7,A9*'Input data'!$B$25*SIN(RADIANS('Input data'!$B$10)))</f>
        <v>0</v>
      </c>
      <c r="Z8">
        <f>IF(P7&lt;Param_1,Z7,A9*'Input data'!$B$25*COS(RADIANS('Input data'!$B$10)))</f>
        <v>0.83333333333333348</v>
      </c>
      <c r="AA8">
        <f t="shared" ref="AA8:AA71" si="10">IF(P7&lt;Param_1,AA7,A9)</f>
        <v>0.2</v>
      </c>
      <c r="AB8">
        <f t="shared" ref="AB8:AB71" si="11">IF(D8&lt;0,AB7,A9)</f>
        <v>0.2</v>
      </c>
      <c r="AC8">
        <f>IF(ROUND(A8*10,3)='Input data'!$B$14*10,M8,0)</f>
        <v>0</v>
      </c>
      <c r="AD8">
        <f>IF(ROUND(A8*10,3)='Input data'!$B$14*10,N8,0)</f>
        <v>0</v>
      </c>
      <c r="AE8">
        <f>IF(ROUND(A8*10,3)='Input data'!$B$14*10,P8,0)</f>
        <v>0</v>
      </c>
      <c r="AF8">
        <f>IF('Input data'!$B$26="C",IF((3.14159265*1860/4)*((0.001*'Input data'!$B$20)-(2*'Input data'!$B$28*A8))^2*((0.33333*0.001*'Input data'!$B$20)-(2*'Input data'!$B$28*A8))&lt;0,(3.14159265*1860/4)*((0.001*'Input data'!$B$20)-(2*'Input data'!$B$28*A8))^2*((0.33333*0.001*'Input data'!$B$20)-(2*'Input data'!$B$28*A8)),(3.14159265*1860/4)*((0.001*'Input data'!$B$20)-(2*'Input data'!$B$28*A8))^2*((0.33333*0.001*'Input data'!$B$20)-(2*'Input data'!$B$28*A8))),'Input data'!$B$21)</f>
        <v>0.40680208090393727</v>
      </c>
      <c r="AG8">
        <f t="shared" si="6"/>
        <v>0</v>
      </c>
      <c r="AH8">
        <f t="shared" si="7"/>
        <v>0</v>
      </c>
      <c r="AI8">
        <f t="shared" si="8"/>
        <v>0</v>
      </c>
      <c r="AJ8">
        <f t="shared" si="9"/>
        <v>3000</v>
      </c>
      <c r="AK8">
        <f>IF('Input data'!$B$26="S",'Input data'!$B$22,3.1415*(('Input data'!$B$20*0.0005)-('Input data'!$B$28*A8))^2)</f>
        <v>7.8539816250000026E-3</v>
      </c>
    </row>
    <row r="9" spans="1:52" x14ac:dyDescent="0.2">
      <c r="A9">
        <f>A8+'Input data'!$B$24</f>
        <v>0.2</v>
      </c>
      <c r="B9">
        <f>B8+(J8*'Input data'!$B$24)</f>
        <v>8.0973617821806823</v>
      </c>
      <c r="C9">
        <f>C8+(K8*'Input data'!$B$24)</f>
        <v>0</v>
      </c>
      <c r="D9">
        <f>D8+(L8*'Input data'!$B$24)</f>
        <v>105.71924681750555</v>
      </c>
      <c r="E9">
        <f>IF('Input data'!$B$13=2,'Input data'!$B$25*((0.1036*LN(ABS(P8+1)))+0.8731),IF('Input data'!$B$13=3,'Input data'!$B$25*((0.139*LN(ABS(P8+1)))+0.7503),'Input data'!$B$25))</f>
        <v>4.991769497775417</v>
      </c>
      <c r="F9">
        <f>E9*COS(RADIANS('Input data'!$B$10))</f>
        <v>4.991769497775417</v>
      </c>
      <c r="G9">
        <f>E9*SIN(RADIANS('Input data'!$B$10))</f>
        <v>0</v>
      </c>
      <c r="H9">
        <f>1.22*EXP(-0.0001065*(P8+'Input data'!$B$12))</f>
        <v>1.2171423675533548</v>
      </c>
      <c r="I9">
        <f t="shared" si="1"/>
        <v>105.76485168097015</v>
      </c>
      <c r="J9">
        <f>-0.5*H9*I9*AK9*'Input data'!$B$19*(B9-F9)/AF9</f>
        <v>-1.9456986822098508</v>
      </c>
      <c r="K9">
        <f>-0.5*H9*I9*AK9*'Input data'!$B$19*(C9-G9)/AF9</f>
        <v>0</v>
      </c>
      <c r="L9">
        <f>(-0.5*H9*AK9*I9*'Input data'!$B$19*D9/AF9)-'Input data'!$B$23</f>
        <v>-76.039643951799547</v>
      </c>
      <c r="M9">
        <f>IF(AF9&gt;0,IF(P8&lt;=Param_1,M8,M8+(B10*'Input data'!$B$24)),M8)</f>
        <v>2.4343162198293022</v>
      </c>
      <c r="N9">
        <f>IF(AF9&gt;0,IF(P8&lt;=Param_1,N8,N8+(C10*'Input data'!$B$24)),N8)</f>
        <v>0</v>
      </c>
      <c r="O9">
        <f t="shared" si="0"/>
        <v>0</v>
      </c>
      <c r="P9">
        <f>IF(P8&lt;=-100000,0,IF(AF9&gt;0,IF(P8&lt;Param_1,P8,P8+(D10*'Input data'!$B$24)),P8))</f>
        <v>31.8309573899447</v>
      </c>
      <c r="Q9">
        <f t="shared" si="2"/>
        <v>2.4343162198293022</v>
      </c>
      <c r="T9">
        <f t="shared" si="3"/>
        <v>2.4343162198293022</v>
      </c>
      <c r="U9">
        <f t="shared" si="4"/>
        <v>0</v>
      </c>
      <c r="V9" s="74">
        <f>IF(X9=0,'Input data'!$Q$22,Q9)</f>
        <v>2.4343162198293022</v>
      </c>
      <c r="W9" s="74">
        <f>IF(U9=0,'Input data'!$Q$23,U9)</f>
        <v>0</v>
      </c>
      <c r="X9" s="74">
        <f t="shared" si="5"/>
        <v>31.8309573899447</v>
      </c>
      <c r="Y9">
        <f>IF(P8&lt;Param_1,Y8,A10*'Input data'!$B$25*SIN(RADIANS('Input data'!$B$10)))</f>
        <v>0</v>
      </c>
      <c r="Z9">
        <f>IF(P8&lt;Param_1,Z8,A10*'Input data'!$B$25*COS(RADIANS('Input data'!$B$10)))</f>
        <v>1.2500000000000002</v>
      </c>
      <c r="AA9">
        <f t="shared" si="10"/>
        <v>0.30000000000000004</v>
      </c>
      <c r="AB9">
        <f t="shared" si="11"/>
        <v>0.30000000000000004</v>
      </c>
      <c r="AC9">
        <f>IF(ROUND(A9*10,3)='Input data'!$B$14*10,M9,0)</f>
        <v>0</v>
      </c>
      <c r="AD9">
        <f>IF(ROUND(A9*10,3)='Input data'!$B$14*10,N9,0)</f>
        <v>0</v>
      </c>
      <c r="AE9">
        <f>IF(ROUND(A9*10,3)='Input data'!$B$14*10,P9,0)</f>
        <v>0</v>
      </c>
      <c r="AF9">
        <f>IF('Input data'!$B$26="C",IF((3.14159265*1860/4)*((0.001*'Input data'!$B$20)-(2*'Input data'!$B$28*A9))^2*((0.33333*0.001*'Input data'!$B$20)-(2*'Input data'!$B$28*A9))&lt;0,(3.14159265*1860/4)*((0.001*'Input data'!$B$20)-(2*'Input data'!$B$28*A9))^2*((0.33333*0.001*'Input data'!$B$20)-(2*'Input data'!$B$28*A9)),(3.14159265*1860/4)*((0.001*'Input data'!$B$20)-(2*'Input data'!$B$28*A9))^2*((0.33333*0.001*'Input data'!$B$20)-(2*'Input data'!$B$28*A9))),'Input data'!$B$21)</f>
        <v>0.40680208090393727</v>
      </c>
      <c r="AG9">
        <f t="shared" si="6"/>
        <v>0</v>
      </c>
      <c r="AH9">
        <f t="shared" si="7"/>
        <v>0</v>
      </c>
      <c r="AI9">
        <f t="shared" si="8"/>
        <v>0</v>
      </c>
      <c r="AJ9">
        <f t="shared" si="9"/>
        <v>3000</v>
      </c>
      <c r="AK9">
        <f>IF('Input data'!$B$26="S",'Input data'!$B$22,3.1415*(('Input data'!$B$20*0.0005)-('Input data'!$B$28*A9))^2)</f>
        <v>7.8539816250000026E-3</v>
      </c>
    </row>
    <row r="10" spans="1:52" x14ac:dyDescent="0.2">
      <c r="A10">
        <f>A9+'Input data'!$B$24</f>
        <v>0.30000000000000004</v>
      </c>
      <c r="B10">
        <f>B9+(J9*'Input data'!$B$24)</f>
        <v>7.9027919139596969</v>
      </c>
      <c r="C10">
        <f>C9+(K9*'Input data'!$B$24)</f>
        <v>0</v>
      </c>
      <c r="D10">
        <f>D9+(L9*'Input data'!$B$24)</f>
        <v>98.115282422325592</v>
      </c>
      <c r="E10">
        <f>IF('Input data'!$B$13=2,'Input data'!$B$25*((0.1036*LN(ABS(P9+1)))+0.8731),IF('Input data'!$B$13=3,'Input data'!$B$25*((0.139*LN(ABS(P9+1)))+0.7503),'Input data'!$B$25))</f>
        <v>5.1450255338693038</v>
      </c>
      <c r="F10">
        <f>E10*COS(RADIANS('Input data'!$B$10))</f>
        <v>5.1450255338693038</v>
      </c>
      <c r="G10">
        <f>E10*SIN(RADIANS('Input data'!$B$10))</f>
        <v>0</v>
      </c>
      <c r="H10">
        <f>1.22*EXP(-0.0001065*(P9+'Input data'!$B$12))</f>
        <v>1.2158712059599857</v>
      </c>
      <c r="I10">
        <f t="shared" si="1"/>
        <v>98.154031604513676</v>
      </c>
      <c r="J10">
        <f>-0.5*H10*I10*AK10*'Input data'!$B$19*(B10-F10)/AF10</f>
        <v>-1.6017752914223462</v>
      </c>
      <c r="K10">
        <f>-0.5*H10*I10*AK10*'Input data'!$B$19*(C10-G10)/AF10</f>
        <v>0</v>
      </c>
      <c r="L10">
        <f>(-0.5*H10*AK10*I10*'Input data'!$B$19*D10/AF10)-'Input data'!$B$23</f>
        <v>-66.792653569790446</v>
      </c>
      <c r="M10">
        <f>IF(AF10&gt;0,IF(P9&lt;=Param_1,M9,M9+(B11*'Input data'!$B$24)),M9)</f>
        <v>3.2085776583110484</v>
      </c>
      <c r="N10">
        <f>IF(AF10&gt;0,IF(P9&lt;=Param_1,N9,N9+(C11*'Input data'!$B$24)),N9)</f>
        <v>0</v>
      </c>
      <c r="O10">
        <f t="shared" si="0"/>
        <v>0</v>
      </c>
      <c r="P10">
        <f>IF(P9&lt;=-100000,0,IF(AF10&gt;0,IF(P9&lt;Param_1,P9,P9+(D11*'Input data'!$B$24)),P9))</f>
        <v>40.974559096479354</v>
      </c>
      <c r="Q10">
        <f t="shared" si="2"/>
        <v>3.2085776583110484</v>
      </c>
      <c r="T10">
        <f t="shared" si="3"/>
        <v>3.2085776583110484</v>
      </c>
      <c r="U10">
        <f t="shared" si="4"/>
        <v>0</v>
      </c>
      <c r="V10" s="74">
        <f>IF(X10=0,'Input data'!$Q$22,Q10)</f>
        <v>3.2085776583110484</v>
      </c>
      <c r="W10" s="74">
        <f>IF(U10=0,'Input data'!$Q$23,U10)</f>
        <v>0</v>
      </c>
      <c r="X10" s="74">
        <f t="shared" si="5"/>
        <v>40.974559096479354</v>
      </c>
      <c r="Y10">
        <f>IF(P9&lt;Param_1,Y9,A11*'Input data'!$B$25*SIN(RADIANS('Input data'!$B$10)))</f>
        <v>0</v>
      </c>
      <c r="Z10">
        <f>IF(P9&lt;Param_1,Z9,A11*'Input data'!$B$25*COS(RADIANS('Input data'!$B$10)))</f>
        <v>1.666666666666667</v>
      </c>
      <c r="AA10">
        <f t="shared" si="10"/>
        <v>0.4</v>
      </c>
      <c r="AB10">
        <f t="shared" si="11"/>
        <v>0.4</v>
      </c>
      <c r="AC10">
        <f>IF(ROUND(A10*10,3)='Input data'!$B$14*10,M10,0)</f>
        <v>0</v>
      </c>
      <c r="AD10">
        <f>IF(ROUND(A10*10,3)='Input data'!$B$14*10,N10,0)</f>
        <v>0</v>
      </c>
      <c r="AE10">
        <f>IF(ROUND(A10*10,3)='Input data'!$B$14*10,P10,0)</f>
        <v>0</v>
      </c>
      <c r="AF10">
        <f>IF('Input data'!$B$26="C",IF((3.14159265*1860/4)*((0.001*'Input data'!$B$20)-(2*'Input data'!$B$28*A10))^2*((0.33333*0.001*'Input data'!$B$20)-(2*'Input data'!$B$28*A10))&lt;0,(3.14159265*1860/4)*((0.001*'Input data'!$B$20)-(2*'Input data'!$B$28*A10))^2*((0.33333*0.001*'Input data'!$B$20)-(2*'Input data'!$B$28*A10)),(3.14159265*1860/4)*((0.001*'Input data'!$B$20)-(2*'Input data'!$B$28*A10))^2*((0.33333*0.001*'Input data'!$B$20)-(2*'Input data'!$B$28*A10))),'Input data'!$B$21)</f>
        <v>0.40680208090393727</v>
      </c>
      <c r="AG10">
        <f t="shared" si="6"/>
        <v>0</v>
      </c>
      <c r="AH10">
        <f t="shared" si="7"/>
        <v>0</v>
      </c>
      <c r="AI10">
        <f t="shared" si="8"/>
        <v>0</v>
      </c>
      <c r="AJ10">
        <f t="shared" si="9"/>
        <v>3000</v>
      </c>
      <c r="AK10">
        <f>IF('Input data'!$B$26="S",'Input data'!$B$22,3.1415*(('Input data'!$B$20*0.0005)-('Input data'!$B$28*A10))^2)</f>
        <v>7.8539816250000026E-3</v>
      </c>
    </row>
    <row r="11" spans="1:52" x14ac:dyDescent="0.2">
      <c r="A11">
        <f>A10+'Input data'!$B$24</f>
        <v>0.4</v>
      </c>
      <c r="B11">
        <f>B10+(J10*'Input data'!$B$24)</f>
        <v>7.742614384817462</v>
      </c>
      <c r="C11">
        <f>C10+(K10*'Input data'!$B$24)</f>
        <v>0</v>
      </c>
      <c r="D11">
        <f>D10+(L10*'Input data'!$B$24)</f>
        <v>91.436017065346547</v>
      </c>
      <c r="E11">
        <f>IF('Input data'!$B$13=2,'Input data'!$B$25*((0.1036*LN(ABS(P10+1)))+0.8731),IF('Input data'!$B$13=3,'Input data'!$B$25*((0.139*LN(ABS(P10+1)))+0.7503),'Input data'!$B$25))</f>
        <v>5.2510824967148029</v>
      </c>
      <c r="F11">
        <f>E11*COS(RADIANS('Input data'!$B$10))</f>
        <v>5.2510824967148029</v>
      </c>
      <c r="G11">
        <f>E11*SIN(RADIANS('Input data'!$B$10))</f>
        <v>0</v>
      </c>
      <c r="H11">
        <f>1.22*EXP(-0.0001065*(P10+'Input data'!$B$12))</f>
        <v>1.2146877746857998</v>
      </c>
      <c r="I11">
        <f t="shared" si="1"/>
        <v>91.469956531769355</v>
      </c>
      <c r="J11">
        <f>-0.5*H11*I11*AK11*'Input data'!$B$19*(B11-F11)/AF11</f>
        <v>-1.3472803759739267</v>
      </c>
      <c r="K11">
        <f>-0.5*H11*I11*AK11*'Input data'!$B$19*(C11-G11)/AF11</f>
        <v>0</v>
      </c>
      <c r="L11">
        <f>(-0.5*H11*AK11*I11*'Input data'!$B$19*D11/AF11)-'Input data'!$B$23</f>
        <v>-59.248457672608623</v>
      </c>
      <c r="M11">
        <f>IF(AF11&gt;0,IF(P10&lt;=Param_1,M10,M10+(B12*'Input data'!$B$24)),M10)</f>
        <v>3.9693662930330555</v>
      </c>
      <c r="N11">
        <f>IF(AF11&gt;0,IF(P10&lt;=Param_1,N10,N10+(C12*'Input data'!$B$24)),N10)</f>
        <v>0</v>
      </c>
      <c r="O11">
        <f t="shared" si="0"/>
        <v>0</v>
      </c>
      <c r="P11">
        <f>IF(P10&lt;=-100000,0,IF(AF11&gt;0,IF(P10&lt;Param_1,P10,P10+(D12*'Input data'!$B$24)),P10))</f>
        <v>49.525676226287921</v>
      </c>
      <c r="Q11">
        <f t="shared" si="2"/>
        <v>3.9693662930330555</v>
      </c>
      <c r="T11">
        <f t="shared" si="3"/>
        <v>3.9693662930330555</v>
      </c>
      <c r="U11">
        <f t="shared" si="4"/>
        <v>0</v>
      </c>
      <c r="V11" s="74">
        <f>IF(X11=0,'Input data'!$Q$22,Q11)</f>
        <v>3.9693662930330555</v>
      </c>
      <c r="W11" s="74">
        <f>IF(U11=0,'Input data'!$Q$23,U11)</f>
        <v>0</v>
      </c>
      <c r="X11" s="74">
        <f t="shared" si="5"/>
        <v>49.525676226287921</v>
      </c>
      <c r="Y11">
        <f>IF(P10&lt;Param_1,Y10,A12*'Input data'!$B$25*SIN(RADIANS('Input data'!$B$10)))</f>
        <v>0</v>
      </c>
      <c r="Z11">
        <f>IF(P10&lt;Param_1,Z10,A12*'Input data'!$B$25*COS(RADIANS('Input data'!$B$10)))</f>
        <v>2.0833333333333335</v>
      </c>
      <c r="AA11">
        <f t="shared" si="10"/>
        <v>0.5</v>
      </c>
      <c r="AB11">
        <f t="shared" si="11"/>
        <v>0.5</v>
      </c>
      <c r="AC11">
        <f>IF(ROUND(A11*10,3)='Input data'!$B$14*10,M11,0)</f>
        <v>0</v>
      </c>
      <c r="AD11">
        <f>IF(ROUND(A11*10,3)='Input data'!$B$14*10,N11,0)</f>
        <v>0</v>
      </c>
      <c r="AE11">
        <f>IF(ROUND(A11*10,3)='Input data'!$B$14*10,P11,0)</f>
        <v>0</v>
      </c>
      <c r="AF11">
        <f>IF('Input data'!$B$26="C",IF((3.14159265*1860/4)*((0.001*'Input data'!$B$20)-(2*'Input data'!$B$28*A11))^2*((0.33333*0.001*'Input data'!$B$20)-(2*'Input data'!$B$28*A11))&lt;0,(3.14159265*1860/4)*((0.001*'Input data'!$B$20)-(2*'Input data'!$B$28*A11))^2*((0.33333*0.001*'Input data'!$B$20)-(2*'Input data'!$B$28*A11)),(3.14159265*1860/4)*((0.001*'Input data'!$B$20)-(2*'Input data'!$B$28*A11))^2*((0.33333*0.001*'Input data'!$B$20)-(2*'Input data'!$B$28*A11))),'Input data'!$B$21)</f>
        <v>0.40680208090393727</v>
      </c>
      <c r="AG11">
        <f t="shared" si="6"/>
        <v>0</v>
      </c>
      <c r="AH11">
        <f t="shared" si="7"/>
        <v>0</v>
      </c>
      <c r="AI11">
        <f t="shared" si="8"/>
        <v>0</v>
      </c>
      <c r="AJ11">
        <f t="shared" si="9"/>
        <v>3000</v>
      </c>
      <c r="AK11">
        <f>IF('Input data'!$B$26="S",'Input data'!$B$22,3.1415*(('Input data'!$B$20*0.0005)-('Input data'!$B$28*A11))^2)</f>
        <v>7.8539816250000026E-3</v>
      </c>
    </row>
    <row r="12" spans="1:52" x14ac:dyDescent="0.2">
      <c r="A12">
        <f>A11+'Input data'!$B$24</f>
        <v>0.5</v>
      </c>
      <c r="B12">
        <f>B11+(J11*'Input data'!$B$24)</f>
        <v>7.6078863472200693</v>
      </c>
      <c r="C12">
        <f>C11+(K11*'Input data'!$B$24)</f>
        <v>0</v>
      </c>
      <c r="D12">
        <f>D11+(L11*'Input data'!$B$24)</f>
        <v>85.511171298085685</v>
      </c>
      <c r="E12">
        <f>IF('Input data'!$B$13=2,'Input data'!$B$25*((0.1036*LN(ABS(P11+1)))+0.8731),IF('Input data'!$B$13=3,'Input data'!$B$25*((0.139*LN(ABS(P11+1)))+0.7503),'Input data'!$B$25))</f>
        <v>5.3311212443720528</v>
      </c>
      <c r="F12">
        <f>E12*COS(RADIANS('Input data'!$B$10))</f>
        <v>5.3311212443720528</v>
      </c>
      <c r="G12">
        <f>E12*SIN(RADIANS('Input data'!$B$10))</f>
        <v>0</v>
      </c>
      <c r="H12">
        <f>1.22*EXP(-0.0001065*(P11+'Input data'!$B$12))</f>
        <v>1.2135820694046955</v>
      </c>
      <c r="I12">
        <f t="shared" si="1"/>
        <v>85.541475765292361</v>
      </c>
      <c r="J12">
        <f>-0.5*H12*I12*AK12*'Input data'!$B$19*(B12-F12)/AF12</f>
        <v>-1.1503036998492804</v>
      </c>
      <c r="K12">
        <f>-0.5*H12*I12*AK12*'Input data'!$B$19*(C12-G12)/AF12</f>
        <v>0</v>
      </c>
      <c r="L12">
        <f>(-0.5*H12*AK12*I12*'Input data'!$B$19*D12/AF12)-'Input data'!$B$23</f>
        <v>-53.008322380332423</v>
      </c>
      <c r="M12">
        <f>IF(AF12&gt;0,IF(P11&lt;=Param_1,M11,M11+(B13*'Input data'!$B$24)),M11)</f>
        <v>4.7186518907565702</v>
      </c>
      <c r="N12">
        <f>IF(AF12&gt;0,IF(P11&lt;=Param_1,N11,N11+(C13*'Input data'!$B$24)),N11)</f>
        <v>0</v>
      </c>
      <c r="O12">
        <f t="shared" si="0"/>
        <v>0</v>
      </c>
      <c r="P12">
        <f>IF(P11&lt;=-100000,0,IF(AF12&gt;0,IF(P11&lt;Param_1,P11,P11+(D13*'Input data'!$B$24)),P11))</f>
        <v>57.546710132293164</v>
      </c>
      <c r="Q12">
        <f t="shared" si="2"/>
        <v>4.7186518907565702</v>
      </c>
      <c r="T12">
        <f t="shared" si="3"/>
        <v>4.7186518907565702</v>
      </c>
      <c r="U12">
        <f t="shared" si="4"/>
        <v>0</v>
      </c>
      <c r="V12" s="74">
        <f>IF(X12=0,'Input data'!$Q$22,Q12)</f>
        <v>4.7186518907565702</v>
      </c>
      <c r="W12" s="74">
        <f>IF(U12=0,'Input data'!$Q$23,U12)</f>
        <v>0</v>
      </c>
      <c r="X12" s="74">
        <f t="shared" si="5"/>
        <v>57.546710132293164</v>
      </c>
      <c r="Y12">
        <f>IF(P11&lt;Param_1,Y11,A13*'Input data'!$B$25*SIN(RADIANS('Input data'!$B$10)))</f>
        <v>0</v>
      </c>
      <c r="Z12">
        <f>IF(P11&lt;Param_1,Z11,A13*'Input data'!$B$25*COS(RADIANS('Input data'!$B$10)))</f>
        <v>2.5</v>
      </c>
      <c r="AA12">
        <f t="shared" si="10"/>
        <v>0.6</v>
      </c>
      <c r="AB12">
        <f t="shared" si="11"/>
        <v>0.6</v>
      </c>
      <c r="AC12">
        <f>IF(ROUND(A12*10,3)='Input data'!$B$14*10,M12,0)</f>
        <v>0</v>
      </c>
      <c r="AD12">
        <f>IF(ROUND(A12*10,3)='Input data'!$B$14*10,N12,0)</f>
        <v>0</v>
      </c>
      <c r="AE12">
        <f>IF(ROUND(A12*10,3)='Input data'!$B$14*10,P12,0)</f>
        <v>0</v>
      </c>
      <c r="AF12">
        <f>IF('Input data'!$B$26="C",IF((3.14159265*1860/4)*((0.001*'Input data'!$B$20)-(2*'Input data'!$B$28*A12))^2*((0.33333*0.001*'Input data'!$B$20)-(2*'Input data'!$B$28*A12))&lt;0,(3.14159265*1860/4)*((0.001*'Input data'!$B$20)-(2*'Input data'!$B$28*A12))^2*((0.33333*0.001*'Input data'!$B$20)-(2*'Input data'!$B$28*A12)),(3.14159265*1860/4)*((0.001*'Input data'!$B$20)-(2*'Input data'!$B$28*A12))^2*((0.33333*0.001*'Input data'!$B$20)-(2*'Input data'!$B$28*A12))),'Input data'!$B$21)</f>
        <v>0.40680208090393727</v>
      </c>
      <c r="AG12">
        <f t="shared" si="6"/>
        <v>0</v>
      </c>
      <c r="AH12">
        <f t="shared" si="7"/>
        <v>0</v>
      </c>
      <c r="AI12">
        <f t="shared" si="8"/>
        <v>0</v>
      </c>
      <c r="AJ12">
        <f t="shared" si="9"/>
        <v>3000</v>
      </c>
      <c r="AK12">
        <f>IF('Input data'!$B$26="S",'Input data'!$B$22,3.1415*(('Input data'!$B$20*0.0005)-('Input data'!$B$28*A12))^2)</f>
        <v>7.8539816250000026E-3</v>
      </c>
    </row>
    <row r="13" spans="1:52" x14ac:dyDescent="0.2">
      <c r="A13">
        <f>A12+'Input data'!$B$24</f>
        <v>0.6</v>
      </c>
      <c r="B13">
        <f>B12+(J12*'Input data'!$B$24)</f>
        <v>7.4928559772351413</v>
      </c>
      <c r="C13">
        <f>C12+(K12*'Input data'!$B$24)</f>
        <v>0</v>
      </c>
      <c r="D13">
        <f>D12+(L12*'Input data'!$B$24)</f>
        <v>80.210339060052448</v>
      </c>
      <c r="E13">
        <f>IF('Input data'!$B$13=2,'Input data'!$B$25*((0.1036*LN(ABS(P12+1)))+0.8731),IF('Input data'!$B$13=3,'Input data'!$B$25*((0.139*LN(ABS(P12+1)))+0.7503),'Input data'!$B$25))</f>
        <v>5.3947244149228002</v>
      </c>
      <c r="F13">
        <f>E13*COS(RADIANS('Input data'!$B$10))</f>
        <v>5.3947244149228002</v>
      </c>
      <c r="G13">
        <f>E13*SIN(RADIANS('Input data'!$B$10))</f>
        <v>0</v>
      </c>
      <c r="H13">
        <f>1.22*EXP(-0.0001065*(P12+'Input data'!$B$12))</f>
        <v>1.2125458215882718</v>
      </c>
      <c r="I13">
        <f t="shared" si="1"/>
        <v>80.237775693131894</v>
      </c>
      <c r="J13">
        <f>-0.5*H13*I13*AK13*'Input data'!$B$19*(B13-F13)/AF13</f>
        <v>-0.99347777993962905</v>
      </c>
      <c r="K13">
        <f>-0.5*H13*I13*AK13*'Input data'!$B$19*(C13-G13)/AF13</f>
        <v>0</v>
      </c>
      <c r="L13">
        <f>(-0.5*H13*AK13*I13*'Input data'!$B$19*D13/AF13)-'Input data'!$B$23</f>
        <v>-47.785072846224629</v>
      </c>
      <c r="M13">
        <f>IF(AF13&gt;0,IF(P12&lt;=Param_1,M12,M12+(B14*'Input data'!$B$24)),M12)</f>
        <v>5.4580027106806881</v>
      </c>
      <c r="N13">
        <f>IF(AF13&gt;0,IF(P12&lt;=Param_1,N12,N12+(C14*'Input data'!$B$24)),N12)</f>
        <v>0</v>
      </c>
      <c r="O13">
        <f t="shared" si="0"/>
        <v>0</v>
      </c>
      <c r="P13">
        <f>IF(P12&lt;=-100000,0,IF(AF13&gt;0,IF(P12&lt;Param_1,P12,P12+(D14*'Input data'!$B$24)),P12))</f>
        <v>65.089893309836157</v>
      </c>
      <c r="Q13">
        <f t="shared" si="2"/>
        <v>5.4580027106806881</v>
      </c>
      <c r="T13">
        <f t="shared" si="3"/>
        <v>5.4580027106806881</v>
      </c>
      <c r="U13">
        <f t="shared" si="4"/>
        <v>0</v>
      </c>
      <c r="V13" s="74">
        <f>IF(X13=0,'Input data'!$Q$22,Q13)</f>
        <v>5.4580027106806881</v>
      </c>
      <c r="W13" s="74">
        <f>IF(U13=0,'Input data'!$Q$23,U13)</f>
        <v>0</v>
      </c>
      <c r="X13" s="74">
        <f t="shared" si="5"/>
        <v>65.089893309836157</v>
      </c>
      <c r="Y13">
        <f>IF(P12&lt;Param_1,Y12,A14*'Input data'!$B$25*SIN(RADIANS('Input data'!$B$10)))</f>
        <v>0</v>
      </c>
      <c r="Z13">
        <f>IF(P12&lt;Param_1,Z12,A14*'Input data'!$B$25*COS(RADIANS('Input data'!$B$10)))</f>
        <v>2.9166666666666665</v>
      </c>
      <c r="AA13">
        <f t="shared" si="10"/>
        <v>0.7</v>
      </c>
      <c r="AB13">
        <f t="shared" si="11"/>
        <v>0.7</v>
      </c>
      <c r="AC13">
        <f>IF(ROUND(A13*10,3)='Input data'!$B$14*10,M13,0)</f>
        <v>0</v>
      </c>
      <c r="AD13">
        <f>IF(ROUND(A13*10,3)='Input data'!$B$14*10,N13,0)</f>
        <v>0</v>
      </c>
      <c r="AE13">
        <f>IF(ROUND(A13*10,3)='Input data'!$B$14*10,P13,0)</f>
        <v>0</v>
      </c>
      <c r="AF13">
        <f>IF('Input data'!$B$26="C",IF((3.14159265*1860/4)*((0.001*'Input data'!$B$20)-(2*'Input data'!$B$28*A13))^2*((0.33333*0.001*'Input data'!$B$20)-(2*'Input data'!$B$28*A13))&lt;0,(3.14159265*1860/4)*((0.001*'Input data'!$B$20)-(2*'Input data'!$B$28*A13))^2*((0.33333*0.001*'Input data'!$B$20)-(2*'Input data'!$B$28*A13)),(3.14159265*1860/4)*((0.001*'Input data'!$B$20)-(2*'Input data'!$B$28*A13))^2*((0.33333*0.001*'Input data'!$B$20)-(2*'Input data'!$B$28*A13))),'Input data'!$B$21)</f>
        <v>0.40680208090393727</v>
      </c>
      <c r="AG13">
        <f t="shared" si="6"/>
        <v>0</v>
      </c>
      <c r="AH13">
        <f t="shared" si="7"/>
        <v>0</v>
      </c>
      <c r="AI13">
        <f t="shared" si="8"/>
        <v>0</v>
      </c>
      <c r="AJ13">
        <f t="shared" si="9"/>
        <v>3000</v>
      </c>
      <c r="AK13">
        <f>IF('Input data'!$B$26="S",'Input data'!$B$22,3.1415*(('Input data'!$B$20*0.0005)-('Input data'!$B$28*A13))^2)</f>
        <v>7.8539816250000026E-3</v>
      </c>
    </row>
    <row r="14" spans="1:52" x14ac:dyDescent="0.2">
      <c r="A14">
        <f>A13+'Input data'!$B$24</f>
        <v>0.7</v>
      </c>
      <c r="B14">
        <f>B13+(J13*'Input data'!$B$24)</f>
        <v>7.393508199241178</v>
      </c>
      <c r="C14">
        <f>C13+(K13*'Input data'!$B$24)</f>
        <v>0</v>
      </c>
      <c r="D14">
        <f>D13+(L13*'Input data'!$B$24)</f>
        <v>75.431831775429984</v>
      </c>
      <c r="E14">
        <f>IF('Input data'!$B$13=2,'Input data'!$B$25*((0.1036*LN(ABS(P13+1)))+0.8731),IF('Input data'!$B$13=3,'Input data'!$B$25*((0.139*LN(ABS(P13+1)))+0.7503),'Input data'!$B$25))</f>
        <v>5.4470385021794572</v>
      </c>
      <c r="F14">
        <f>E14*COS(RADIANS('Input data'!$B$10))</f>
        <v>5.4470385021794572</v>
      </c>
      <c r="G14">
        <f>E14*SIN(RADIANS('Input data'!$B$10))</f>
        <v>0</v>
      </c>
      <c r="H14">
        <f>1.22*EXP(-0.0001065*(P13+'Input data'!$B$12))</f>
        <v>1.2115721152702186</v>
      </c>
      <c r="I14">
        <f t="shared" si="1"/>
        <v>75.456941292888018</v>
      </c>
      <c r="J14">
        <f>-0.5*H14*I14*AK14*'Input data'!$B$19*(B14-F14)/AF14</f>
        <v>-0.86605308681059912</v>
      </c>
      <c r="K14">
        <f>-0.5*H14*I14*AK14*'Input data'!$B$19*(C14-G14)/AF14</f>
        <v>0</v>
      </c>
      <c r="L14">
        <f>(-0.5*H14*AK14*I14*'Input data'!$B$19*D14/AF14)-'Input data'!$B$23</f>
        <v>-43.367285018618247</v>
      </c>
      <c r="M14">
        <f>IF(AF14&gt;0,IF(P13&lt;=Param_1,M13,M13+(B15*'Input data'!$B$24)),M13)</f>
        <v>6.1886929997367002</v>
      </c>
      <c r="N14">
        <f>IF(AF14&gt;0,IF(P13&lt;=Param_1,N13,N13+(C15*'Input data'!$B$24)),N13)</f>
        <v>0</v>
      </c>
      <c r="O14">
        <f t="shared" si="0"/>
        <v>0</v>
      </c>
      <c r="P14">
        <f>IF(P13&lt;=-100000,0,IF(AF14&gt;0,IF(P13&lt;Param_1,P13,P13+(D15*'Input data'!$B$24)),P13))</f>
        <v>72.199403637192972</v>
      </c>
      <c r="Q14">
        <f t="shared" si="2"/>
        <v>6.1886929997367002</v>
      </c>
      <c r="T14">
        <f t="shared" si="3"/>
        <v>6.1886929997367002</v>
      </c>
      <c r="U14">
        <f t="shared" si="4"/>
        <v>0</v>
      </c>
      <c r="V14" s="74">
        <f>IF(X14=0,'Input data'!$Q$22,Q14)</f>
        <v>6.1886929997367002</v>
      </c>
      <c r="W14" s="74">
        <f>IF(U14=0,'Input data'!$Q$23,U14)</f>
        <v>0</v>
      </c>
      <c r="X14" s="74">
        <f t="shared" si="5"/>
        <v>72.199403637192972</v>
      </c>
      <c r="Y14">
        <f>IF(P13&lt;Param_1,Y13,A15*'Input data'!$B$25*SIN(RADIANS('Input data'!$B$10)))</f>
        <v>0</v>
      </c>
      <c r="Z14">
        <f>IF(P13&lt;Param_1,Z13,A15*'Input data'!$B$25*COS(RADIANS('Input data'!$B$10)))</f>
        <v>3.3333333333333335</v>
      </c>
      <c r="AA14">
        <f t="shared" si="10"/>
        <v>0.79999999999999993</v>
      </c>
      <c r="AB14">
        <f t="shared" si="11"/>
        <v>0.79999999999999993</v>
      </c>
      <c r="AC14">
        <f>IF(ROUND(A14*10,3)='Input data'!$B$14*10,M14,0)</f>
        <v>0</v>
      </c>
      <c r="AD14">
        <f>IF(ROUND(A14*10,3)='Input data'!$B$14*10,N14,0)</f>
        <v>0</v>
      </c>
      <c r="AE14">
        <f>IF(ROUND(A14*10,3)='Input data'!$B$14*10,P14,0)</f>
        <v>0</v>
      </c>
      <c r="AF14">
        <f>IF('Input data'!$B$26="C",IF((3.14159265*1860/4)*((0.001*'Input data'!$B$20)-(2*'Input data'!$B$28*A14))^2*((0.33333*0.001*'Input data'!$B$20)-(2*'Input data'!$B$28*A14))&lt;0,(3.14159265*1860/4)*((0.001*'Input data'!$B$20)-(2*'Input data'!$B$28*A14))^2*((0.33333*0.001*'Input data'!$B$20)-(2*'Input data'!$B$28*A14)),(3.14159265*1860/4)*((0.001*'Input data'!$B$20)-(2*'Input data'!$B$28*A14))^2*((0.33333*0.001*'Input data'!$B$20)-(2*'Input data'!$B$28*A14))),'Input data'!$B$21)</f>
        <v>0.40680208090393727</v>
      </c>
      <c r="AG14">
        <f t="shared" si="6"/>
        <v>0</v>
      </c>
      <c r="AH14">
        <f t="shared" si="7"/>
        <v>0</v>
      </c>
      <c r="AI14">
        <f t="shared" si="8"/>
        <v>0</v>
      </c>
      <c r="AJ14">
        <f t="shared" si="9"/>
        <v>3000</v>
      </c>
      <c r="AK14">
        <f>IF('Input data'!$B$26="S",'Input data'!$B$22,3.1415*(('Input data'!$B$20*0.0005)-('Input data'!$B$28*A14))^2)</f>
        <v>7.8539816250000026E-3</v>
      </c>
    </row>
    <row r="15" spans="1:52" x14ac:dyDescent="0.2">
      <c r="A15">
        <f>A14+'Input data'!$B$24</f>
        <v>0.79999999999999993</v>
      </c>
      <c r="B15">
        <f>B14+(J14*'Input data'!$B$24)</f>
        <v>7.3069028905601181</v>
      </c>
      <c r="C15">
        <f>C14+(K14*'Input data'!$B$24)</f>
        <v>0</v>
      </c>
      <c r="D15">
        <f>D14+(L14*'Input data'!$B$24)</f>
        <v>71.095103273568157</v>
      </c>
      <c r="E15">
        <f>IF('Input data'!$B$13=2,'Input data'!$B$25*((0.1036*LN(ABS(P14+1)))+0.8731),IF('Input data'!$B$13=3,'Input data'!$B$25*((0.139*LN(ABS(P14+1)))+0.7503),'Input data'!$B$25))</f>
        <v>5.4911425065673507</v>
      </c>
      <c r="F15">
        <f>E15*COS(RADIANS('Input data'!$B$10))</f>
        <v>5.4911425065673507</v>
      </c>
      <c r="G15">
        <f>E15*SIN(RADIANS('Input data'!$B$10))</f>
        <v>0</v>
      </c>
      <c r="H15">
        <f>1.22*EXP(-0.0001065*(P14+'Input data'!$B$12))</f>
        <v>1.2106551050814391</v>
      </c>
      <c r="I15">
        <f t="shared" si="1"/>
        <v>71.118286644514995</v>
      </c>
      <c r="J15">
        <f>-0.5*H15*I15*AK15*'Input data'!$B$19*(B15-F15)/AF15</f>
        <v>-0.76086684558323914</v>
      </c>
      <c r="K15">
        <f>-0.5*H15*I15*AK15*'Input data'!$B$19*(C15-G15)/AF15</f>
        <v>0</v>
      </c>
      <c r="L15">
        <f>(-0.5*H15*AK15*I15*'Input data'!$B$19*D15/AF15)-'Input data'!$B$23</f>
        <v>-39.596324582831016</v>
      </c>
      <c r="M15">
        <f>IF(AF15&gt;0,IF(P14&lt;=Param_1,M14,M14+(B16*'Input data'!$B$24)),M14)</f>
        <v>6.9117746203368799</v>
      </c>
      <c r="N15">
        <f>IF(AF15&gt;0,IF(P14&lt;=Param_1,N14,N14+(C16*'Input data'!$B$24)),N14)</f>
        <v>0</v>
      </c>
      <c r="O15">
        <f t="shared" si="0"/>
        <v>0</v>
      </c>
      <c r="P15">
        <f>IF(P14&lt;=-100000,0,IF(AF15&gt;0,IF(P14&lt;Param_1,P14,P14+(D16*'Input data'!$B$24)),P14))</f>
        <v>78.912950718721476</v>
      </c>
      <c r="Q15">
        <f t="shared" si="2"/>
        <v>6.9117746203368799</v>
      </c>
      <c r="T15">
        <f t="shared" si="3"/>
        <v>6.9117746203368799</v>
      </c>
      <c r="U15">
        <f t="shared" si="4"/>
        <v>0</v>
      </c>
      <c r="V15" s="74">
        <f>IF(X15=0,'Input data'!$Q$22,Q15)</f>
        <v>6.9117746203368799</v>
      </c>
      <c r="W15" s="74">
        <f>IF(U15=0,'Input data'!$Q$23,U15)</f>
        <v>0</v>
      </c>
      <c r="X15" s="74">
        <f t="shared" si="5"/>
        <v>78.912950718721476</v>
      </c>
      <c r="Y15">
        <f>IF(P14&lt;Param_1,Y14,A16*'Input data'!$B$25*SIN(RADIANS('Input data'!$B$10)))</f>
        <v>0</v>
      </c>
      <c r="Z15">
        <f>IF(P14&lt;Param_1,Z14,A16*'Input data'!$B$25*COS(RADIANS('Input data'!$B$10)))</f>
        <v>3.75</v>
      </c>
      <c r="AA15">
        <f t="shared" si="10"/>
        <v>0.89999999999999991</v>
      </c>
      <c r="AB15">
        <f t="shared" si="11"/>
        <v>0.89999999999999991</v>
      </c>
      <c r="AC15">
        <f>IF(ROUND(A15*10,3)='Input data'!$B$14*10,M15,0)</f>
        <v>0</v>
      </c>
      <c r="AD15">
        <f>IF(ROUND(A15*10,3)='Input data'!$B$14*10,N15,0)</f>
        <v>0</v>
      </c>
      <c r="AE15">
        <f>IF(ROUND(A15*10,3)='Input data'!$B$14*10,P15,0)</f>
        <v>0</v>
      </c>
      <c r="AF15">
        <f>IF('Input data'!$B$26="C",IF((3.14159265*1860/4)*((0.001*'Input data'!$B$20)-(2*'Input data'!$B$28*A15))^2*((0.33333*0.001*'Input data'!$B$20)-(2*'Input data'!$B$28*A15))&lt;0,(3.14159265*1860/4)*((0.001*'Input data'!$B$20)-(2*'Input data'!$B$28*A15))^2*((0.33333*0.001*'Input data'!$B$20)-(2*'Input data'!$B$28*A15)),(3.14159265*1860/4)*((0.001*'Input data'!$B$20)-(2*'Input data'!$B$28*A15))^2*((0.33333*0.001*'Input data'!$B$20)-(2*'Input data'!$B$28*A15))),'Input data'!$B$21)</f>
        <v>0.40680208090393727</v>
      </c>
      <c r="AG15">
        <f t="shared" si="6"/>
        <v>0</v>
      </c>
      <c r="AH15">
        <f t="shared" si="7"/>
        <v>0</v>
      </c>
      <c r="AI15">
        <f t="shared" si="8"/>
        <v>0</v>
      </c>
      <c r="AJ15">
        <f t="shared" si="9"/>
        <v>3000</v>
      </c>
      <c r="AK15">
        <f>IF('Input data'!$B$26="S",'Input data'!$B$22,3.1415*(('Input data'!$B$20*0.0005)-('Input data'!$B$28*A15))^2)</f>
        <v>7.8539816250000026E-3</v>
      </c>
    </row>
    <row r="16" spans="1:52" x14ac:dyDescent="0.2">
      <c r="A16">
        <f>A15+'Input data'!$B$24</f>
        <v>0.89999999999999991</v>
      </c>
      <c r="B16">
        <f>B15+(J15*'Input data'!$B$24)</f>
        <v>7.2308162060017942</v>
      </c>
      <c r="C16">
        <f>C15+(K15*'Input data'!$B$24)</f>
        <v>0</v>
      </c>
      <c r="D16">
        <f>D15+(L15*'Input data'!$B$24)</f>
        <v>67.135470815285061</v>
      </c>
      <c r="E16">
        <f>IF('Input data'!$B$13=2,'Input data'!$B$25*((0.1036*LN(ABS(P15+1)))+0.8731),IF('Input data'!$B$13=3,'Input data'!$B$25*((0.139*LN(ABS(P15+1)))+0.7503),'Input data'!$B$25))</f>
        <v>5.5290215381558969</v>
      </c>
      <c r="F16">
        <f>E16*COS(RADIANS('Input data'!$B$10))</f>
        <v>5.5290215381558969</v>
      </c>
      <c r="G16">
        <f>E16*SIN(RADIANS('Input data'!$B$10))</f>
        <v>0</v>
      </c>
      <c r="H16">
        <f>1.22*EXP(-0.0001065*(P15+'Input data'!$B$12))</f>
        <v>1.2097898048199607</v>
      </c>
      <c r="I16">
        <f t="shared" si="1"/>
        <v>67.157036464405579</v>
      </c>
      <c r="J16">
        <f>-0.5*H16*I16*AK16*'Input data'!$B$19*(B16-F16)/AF16</f>
        <v>-0.67291003191415055</v>
      </c>
      <c r="K16">
        <f>-0.5*H16*I16*AK16*'Input data'!$B$19*(C16-G16)/AF16</f>
        <v>0</v>
      </c>
      <c r="L16">
        <f>(-0.5*H16*AK16*I16*'Input data'!$B$19*D16/AF16)-'Input data'!$B$23</f>
        <v>-36.351170735196966</v>
      </c>
      <c r="M16">
        <f>IF(AF16&gt;0,IF(P15&lt;=Param_1,M15,M15+(B17*'Input data'!$B$24)),M15)</f>
        <v>7.6281271406179183</v>
      </c>
      <c r="N16">
        <f>IF(AF16&gt;0,IF(P15&lt;=Param_1,N15,N15+(C17*'Input data'!$B$24)),N15)</f>
        <v>0</v>
      </c>
      <c r="O16">
        <f t="shared" si="0"/>
        <v>0</v>
      </c>
      <c r="P16">
        <f>IF(P15&lt;=-100000,0,IF(AF16&gt;0,IF(P15&lt;Param_1,P15,P15+(D17*'Input data'!$B$24)),P15))</f>
        <v>85.262986092898018</v>
      </c>
      <c r="Q16">
        <f t="shared" si="2"/>
        <v>7.6281271406179183</v>
      </c>
      <c r="T16">
        <f t="shared" si="3"/>
        <v>7.6281271406179183</v>
      </c>
      <c r="U16">
        <f t="shared" si="4"/>
        <v>0</v>
      </c>
      <c r="V16" s="74">
        <f>IF(X16=0,'Input data'!$Q$22,Q16)</f>
        <v>7.6281271406179183</v>
      </c>
      <c r="W16" s="74">
        <f>IF(U16=0,'Input data'!$Q$23,U16)</f>
        <v>0</v>
      </c>
      <c r="X16" s="74">
        <f t="shared" si="5"/>
        <v>85.262986092898018</v>
      </c>
      <c r="Y16">
        <f>IF(P15&lt;Param_1,Y15,A17*'Input data'!$B$25*SIN(RADIANS('Input data'!$B$10)))</f>
        <v>0</v>
      </c>
      <c r="Z16">
        <f>IF(P15&lt;Param_1,Z15,A17*'Input data'!$B$25*COS(RADIANS('Input data'!$B$10)))</f>
        <v>4.1666666666666661</v>
      </c>
      <c r="AA16">
        <f t="shared" si="10"/>
        <v>0.99999999999999989</v>
      </c>
      <c r="AB16">
        <f t="shared" si="11"/>
        <v>0.99999999999999989</v>
      </c>
      <c r="AC16">
        <f>IF(ROUND(A16*10,3)='Input data'!$B$14*10,M16,0)</f>
        <v>0</v>
      </c>
      <c r="AD16">
        <f>IF(ROUND(A16*10,3)='Input data'!$B$14*10,N16,0)</f>
        <v>0</v>
      </c>
      <c r="AE16">
        <f>IF(ROUND(A16*10,3)='Input data'!$B$14*10,P16,0)</f>
        <v>0</v>
      </c>
      <c r="AF16">
        <f>IF('Input data'!$B$26="C",IF((3.14159265*1860/4)*((0.001*'Input data'!$B$20)-(2*'Input data'!$B$28*A16))^2*((0.33333*0.001*'Input data'!$B$20)-(2*'Input data'!$B$28*A16))&lt;0,(3.14159265*1860/4)*((0.001*'Input data'!$B$20)-(2*'Input data'!$B$28*A16))^2*((0.33333*0.001*'Input data'!$B$20)-(2*'Input data'!$B$28*A16)),(3.14159265*1860/4)*((0.001*'Input data'!$B$20)-(2*'Input data'!$B$28*A16))^2*((0.33333*0.001*'Input data'!$B$20)-(2*'Input data'!$B$28*A16))),'Input data'!$B$21)</f>
        <v>0.40680208090393727</v>
      </c>
      <c r="AG16">
        <f t="shared" si="6"/>
        <v>0</v>
      </c>
      <c r="AH16">
        <f t="shared" si="7"/>
        <v>0</v>
      </c>
      <c r="AI16">
        <f t="shared" si="8"/>
        <v>0</v>
      </c>
      <c r="AJ16">
        <f t="shared" si="9"/>
        <v>3000</v>
      </c>
      <c r="AK16">
        <f>IF('Input data'!$B$26="S",'Input data'!$B$22,3.1415*(('Input data'!$B$20*0.0005)-('Input data'!$B$28*A16))^2)</f>
        <v>7.8539816250000026E-3</v>
      </c>
    </row>
    <row r="17" spans="1:37" x14ac:dyDescent="0.2">
      <c r="A17">
        <f>A16+'Input data'!$B$24</f>
        <v>0.99999999999999989</v>
      </c>
      <c r="B17">
        <f>B16+(J16*'Input data'!$B$24)</f>
        <v>7.1635252028103791</v>
      </c>
      <c r="C17">
        <f>C16+(K16*'Input data'!$B$24)</f>
        <v>0</v>
      </c>
      <c r="D17">
        <f>D16+(L16*'Input data'!$B$24)</f>
        <v>63.500353741765366</v>
      </c>
      <c r="E17">
        <f>IF('Input data'!$B$13=2,'Input data'!$B$25*((0.1036*LN(ABS(P16+1)))+0.8731),IF('Input data'!$B$13=3,'Input data'!$B$25*((0.139*LN(ABS(P16+1)))+0.7503),'Input data'!$B$25))</f>
        <v>5.5620279291087149</v>
      </c>
      <c r="F17">
        <f>E17*COS(RADIANS('Input data'!$B$10))</f>
        <v>5.5620279291087149</v>
      </c>
      <c r="G17">
        <f>E17*SIN(RADIANS('Input data'!$B$10))</f>
        <v>0</v>
      </c>
      <c r="H17">
        <f>1.22*EXP(-0.0001065*(P16+'Input data'!$B$12))</f>
        <v>1.2089719262501317</v>
      </c>
      <c r="I17">
        <f t="shared" si="1"/>
        <v>63.520545643492454</v>
      </c>
      <c r="J17">
        <f>-0.5*H17*I17*AK17*'Input data'!$B$19*(B17-F17)/AF17</f>
        <v>-0.59855634759966792</v>
      </c>
      <c r="K17">
        <f>-0.5*H17*I17*AK17*'Input data'!$B$19*(C17-G17)/AF17</f>
        <v>0</v>
      </c>
      <c r="L17">
        <f>(-0.5*H17*AK17*I17*'Input data'!$B$19*D17/AF17)-'Input data'!$B$23</f>
        <v>-33.538128011580007</v>
      </c>
      <c r="M17">
        <f>IF(AF17&gt;0,IF(P16&lt;=Param_1,M16,M16+(B18*'Input data'!$B$24)),M16)</f>
        <v>8.3384940974229593</v>
      </c>
      <c r="N17">
        <f>IF(AF17&gt;0,IF(P16&lt;=Param_1,N16,N16+(C18*'Input data'!$B$24)),N16)</f>
        <v>0</v>
      </c>
      <c r="O17">
        <f t="shared" si="0"/>
        <v>0</v>
      </c>
      <c r="P17">
        <f>IF(P16&lt;=-100000,0,IF(AF17&gt;0,IF(P16&lt;Param_1,P16,P16+(D18*'Input data'!$B$24)),P16))</f>
        <v>91.277640186958749</v>
      </c>
      <c r="Q17">
        <f t="shared" si="2"/>
        <v>8.3384940974229593</v>
      </c>
      <c r="T17">
        <f t="shared" si="3"/>
        <v>8.3384940974229593</v>
      </c>
      <c r="U17">
        <f t="shared" si="4"/>
        <v>0</v>
      </c>
      <c r="V17" s="74">
        <f>IF(X17=0,'Input data'!$Q$22,Q17)</f>
        <v>8.3384940974229593</v>
      </c>
      <c r="W17" s="74">
        <f>IF(U17=0,'Input data'!$Q$23,U17)</f>
        <v>0</v>
      </c>
      <c r="X17" s="74">
        <f t="shared" si="5"/>
        <v>91.277640186958749</v>
      </c>
      <c r="Y17">
        <f>IF(P16&lt;Param_1,Y16,A18*'Input data'!$B$25*SIN(RADIANS('Input data'!$B$10)))</f>
        <v>0</v>
      </c>
      <c r="Z17">
        <f>IF(P16&lt;Param_1,Z16,A18*'Input data'!$B$25*COS(RADIANS('Input data'!$B$10)))</f>
        <v>4.583333333333333</v>
      </c>
      <c r="AA17">
        <f t="shared" si="10"/>
        <v>1.0999999999999999</v>
      </c>
      <c r="AB17">
        <f t="shared" si="11"/>
        <v>1.0999999999999999</v>
      </c>
      <c r="AC17">
        <f>IF(ROUND(A17*10,3)='Input data'!$B$14*10,M17,0)</f>
        <v>0</v>
      </c>
      <c r="AD17">
        <f>IF(ROUND(A17*10,3)='Input data'!$B$14*10,N17,0)</f>
        <v>0</v>
      </c>
      <c r="AE17">
        <f>IF(ROUND(A17*10,3)='Input data'!$B$14*10,P17,0)</f>
        <v>0</v>
      </c>
      <c r="AF17">
        <f>IF('Input data'!$B$26="C",IF((3.14159265*1860/4)*((0.001*'Input data'!$B$20)-(2*'Input data'!$B$28*A17))^2*((0.33333*0.001*'Input data'!$B$20)-(2*'Input data'!$B$28*A17))&lt;0,(3.14159265*1860/4)*((0.001*'Input data'!$B$20)-(2*'Input data'!$B$28*A17))^2*((0.33333*0.001*'Input data'!$B$20)-(2*'Input data'!$B$28*A17)),(3.14159265*1860/4)*((0.001*'Input data'!$B$20)-(2*'Input data'!$B$28*A17))^2*((0.33333*0.001*'Input data'!$B$20)-(2*'Input data'!$B$28*A17))),'Input data'!$B$21)</f>
        <v>0.40680208090393727</v>
      </c>
      <c r="AG17">
        <f t="shared" si="6"/>
        <v>0</v>
      </c>
      <c r="AH17">
        <f t="shared" si="7"/>
        <v>0</v>
      </c>
      <c r="AI17">
        <f t="shared" si="8"/>
        <v>0</v>
      </c>
      <c r="AJ17">
        <f t="shared" si="9"/>
        <v>3000</v>
      </c>
      <c r="AK17">
        <f>IF('Input data'!$B$26="S",'Input data'!$B$22,3.1415*(('Input data'!$B$20*0.0005)-('Input data'!$B$28*A17))^2)</f>
        <v>7.8539816250000026E-3</v>
      </c>
    </row>
    <row r="18" spans="1:37" x14ac:dyDescent="0.2">
      <c r="A18">
        <f>A17+'Input data'!$B$24</f>
        <v>1.0999999999999999</v>
      </c>
      <c r="B18">
        <f>B17+(J17*'Input data'!$B$24)</f>
        <v>7.1036695680504121</v>
      </c>
      <c r="C18">
        <f>C17+(K17*'Input data'!$B$24)</f>
        <v>0</v>
      </c>
      <c r="D18">
        <f>D17+(L17*'Input data'!$B$24)</f>
        <v>60.146540940607366</v>
      </c>
      <c r="E18">
        <f>IF('Input data'!$B$13=2,'Input data'!$B$25*((0.1036*LN(ABS(P17+1)))+0.8731),IF('Input data'!$B$13=3,'Input data'!$B$25*((0.139*LN(ABS(P17+1)))+0.7503),'Input data'!$B$25))</f>
        <v>5.5911228031873179</v>
      </c>
      <c r="F18">
        <f>E18*COS(RADIANS('Input data'!$B$10))</f>
        <v>5.5911228031873179</v>
      </c>
      <c r="G18">
        <f>E18*SIN(RADIANS('Input data'!$B$10))</f>
        <v>0</v>
      </c>
      <c r="H18">
        <f>1.22*EXP(-0.0001065*(P17+'Input data'!$B$12))</f>
        <v>1.2081977543723978</v>
      </c>
      <c r="I18">
        <f t="shared" si="1"/>
        <v>60.165556465772475</v>
      </c>
      <c r="J18">
        <f>-0.5*H18*I18*AK18*'Input data'!$B$19*(B18-F18)/AF18</f>
        <v>-0.53511013173102839</v>
      </c>
      <c r="K18">
        <f>-0.5*H18*I18*AK18*'Input data'!$B$19*(C18-G18)/AF18</f>
        <v>0</v>
      </c>
      <c r="L18">
        <f>(-0.5*H18*AK18*I18*'Input data'!$B$19*D18/AF18)-'Input data'!$B$23</f>
        <v>-31.083696430128079</v>
      </c>
      <c r="M18">
        <f>IF(AF18&gt;0,IF(P17&lt;=Param_1,M17,M17+(B19*'Input data'!$B$24)),M17)</f>
        <v>9.043509952910691</v>
      </c>
      <c r="N18">
        <f>IF(AF18&gt;0,IF(P17&lt;=Param_1,N17,N17+(C19*'Input data'!$B$24)),N17)</f>
        <v>0</v>
      </c>
      <c r="O18">
        <f t="shared" si="0"/>
        <v>0</v>
      </c>
      <c r="P18">
        <f>IF(P17&lt;=-100000,0,IF(AF18&gt;0,IF(P17&lt;Param_1,P17,P17+(D19*'Input data'!$B$24)),P17))</f>
        <v>96.981457316718206</v>
      </c>
      <c r="Q18">
        <f t="shared" si="2"/>
        <v>9.043509952910691</v>
      </c>
      <c r="T18">
        <f t="shared" si="3"/>
        <v>9.043509952910691</v>
      </c>
      <c r="U18">
        <f t="shared" si="4"/>
        <v>0</v>
      </c>
      <c r="V18" s="74">
        <f>IF(X18=0,'Input data'!$Q$22,Q18)</f>
        <v>9.043509952910691</v>
      </c>
      <c r="W18" s="74">
        <f>IF(U18=0,'Input data'!$Q$23,U18)</f>
        <v>0</v>
      </c>
      <c r="X18" s="74">
        <f t="shared" si="5"/>
        <v>96.981457316718206</v>
      </c>
      <c r="Y18">
        <f>IF(P17&lt;Param_1,Y17,A19*'Input data'!$B$25*SIN(RADIANS('Input data'!$B$10)))</f>
        <v>0</v>
      </c>
      <c r="Z18">
        <f>IF(P17&lt;Param_1,Z17,A19*'Input data'!$B$25*COS(RADIANS('Input data'!$B$10)))</f>
        <v>5</v>
      </c>
      <c r="AA18">
        <f t="shared" si="10"/>
        <v>1.2</v>
      </c>
      <c r="AB18">
        <f t="shared" si="11"/>
        <v>1.2</v>
      </c>
      <c r="AC18">
        <f>IF(ROUND(A18*10,3)='Input data'!$B$14*10,M18,0)</f>
        <v>0</v>
      </c>
      <c r="AD18">
        <f>IF(ROUND(A18*10,3)='Input data'!$B$14*10,N18,0)</f>
        <v>0</v>
      </c>
      <c r="AE18">
        <f>IF(ROUND(A18*10,3)='Input data'!$B$14*10,P18,0)</f>
        <v>0</v>
      </c>
      <c r="AF18">
        <f>IF('Input data'!$B$26="C",IF((3.14159265*1860/4)*((0.001*'Input data'!$B$20)-(2*'Input data'!$B$28*A18))^2*((0.33333*0.001*'Input data'!$B$20)-(2*'Input data'!$B$28*A18))&lt;0,(3.14159265*1860/4)*((0.001*'Input data'!$B$20)-(2*'Input data'!$B$28*A18))^2*((0.33333*0.001*'Input data'!$B$20)-(2*'Input data'!$B$28*A18)),(3.14159265*1860/4)*((0.001*'Input data'!$B$20)-(2*'Input data'!$B$28*A18))^2*((0.33333*0.001*'Input data'!$B$20)-(2*'Input data'!$B$28*A18))),'Input data'!$B$21)</f>
        <v>0.40680208090393727</v>
      </c>
      <c r="AG18">
        <f t="shared" si="6"/>
        <v>0</v>
      </c>
      <c r="AH18">
        <f t="shared" si="7"/>
        <v>0</v>
      </c>
      <c r="AI18">
        <f t="shared" si="8"/>
        <v>0</v>
      </c>
      <c r="AJ18">
        <f t="shared" si="9"/>
        <v>3000</v>
      </c>
      <c r="AK18">
        <f>IF('Input data'!$B$26="S",'Input data'!$B$22,3.1415*(('Input data'!$B$20*0.0005)-('Input data'!$B$28*A18))^2)</f>
        <v>7.8539816250000026E-3</v>
      </c>
    </row>
    <row r="19" spans="1:37" x14ac:dyDescent="0.2">
      <c r="A19">
        <f>A18+'Input data'!$B$24</f>
        <v>1.2</v>
      </c>
      <c r="B19">
        <f>B18+(J18*'Input data'!$B$24)</f>
        <v>7.0501585548773091</v>
      </c>
      <c r="C19">
        <f>C18+(K18*'Input data'!$B$24)</f>
        <v>0</v>
      </c>
      <c r="D19">
        <f>D18+(L18*'Input data'!$B$24)</f>
        <v>57.038171297594559</v>
      </c>
      <c r="E19">
        <f>IF('Input data'!$B$13=2,'Input data'!$B$25*((0.1036*LN(ABS(P18+1)))+0.8731),IF('Input data'!$B$13=3,'Input data'!$B$25*((0.139*LN(ABS(P18+1)))+0.7503),'Input data'!$B$25))</f>
        <v>5.6170126111265457</v>
      </c>
      <c r="F19">
        <f>E19*COS(RADIANS('Input data'!$B$10))</f>
        <v>5.6170126111265457</v>
      </c>
      <c r="G19">
        <f>E19*SIN(RADIANS('Input data'!$B$10))</f>
        <v>0</v>
      </c>
      <c r="H19">
        <f>1.22*EXP(-0.0001065*(P18+'Input data'!$B$12))</f>
        <v>1.2074640496332631</v>
      </c>
      <c r="I19">
        <f t="shared" si="1"/>
        <v>57.056173130256717</v>
      </c>
      <c r="J19">
        <f>-0.5*H19*I19*AK19*'Input data'!$B$19*(B19-F19)/AF19</f>
        <v>-0.48052464687480501</v>
      </c>
      <c r="K19">
        <f>-0.5*H19*I19*AK19*'Input data'!$B$19*(C19-G19)/AF19</f>
        <v>0</v>
      </c>
      <c r="L19">
        <f>(-0.5*H19*AK19*I19*'Input data'!$B$19*D19/AF19)-'Input data'!$B$23</f>
        <v>-28.929533157753401</v>
      </c>
      <c r="M19">
        <f>IF(AF19&gt;0,IF(P18&lt;=Param_1,M18,M18+(B20*'Input data'!$B$24)),M18)</f>
        <v>9.7437205619296741</v>
      </c>
      <c r="N19">
        <f>IF(AF19&gt;0,IF(P18&lt;=Param_1,N18,N18+(C20*'Input data'!$B$24)),N18)</f>
        <v>0</v>
      </c>
      <c r="O19">
        <f t="shared" si="0"/>
        <v>0</v>
      </c>
      <c r="P19">
        <f>IF(P18&lt;=-100000,0,IF(AF19&gt;0,IF(P18&lt;Param_1,P18,P18+(D20*'Input data'!$B$24)),P18))</f>
        <v>102.39597911490013</v>
      </c>
      <c r="Q19">
        <f t="shared" si="2"/>
        <v>9.7437205619296741</v>
      </c>
      <c r="T19">
        <f t="shared" si="3"/>
        <v>9.7437205619296741</v>
      </c>
      <c r="U19">
        <f t="shared" si="4"/>
        <v>0</v>
      </c>
      <c r="V19" s="74">
        <f>IF(X19=0,'Input data'!$Q$22,Q19)</f>
        <v>9.7437205619296741</v>
      </c>
      <c r="W19" s="74">
        <f>IF(U19=0,'Input data'!$Q$23,U19)</f>
        <v>0</v>
      </c>
      <c r="X19" s="74">
        <f t="shared" si="5"/>
        <v>102.39597911490013</v>
      </c>
      <c r="Y19">
        <f>IF(P18&lt;Param_1,Y18,A20*'Input data'!$B$25*SIN(RADIANS('Input data'!$B$10)))</f>
        <v>0</v>
      </c>
      <c r="Z19">
        <f>IF(P18&lt;Param_1,Z18,A20*'Input data'!$B$25*COS(RADIANS('Input data'!$B$10)))</f>
        <v>5.416666666666667</v>
      </c>
      <c r="AA19">
        <f t="shared" si="10"/>
        <v>1.3</v>
      </c>
      <c r="AB19">
        <f t="shared" si="11"/>
        <v>1.3</v>
      </c>
      <c r="AC19">
        <f>IF(ROUND(A19*10,3)='Input data'!$B$14*10,M19,0)</f>
        <v>0</v>
      </c>
      <c r="AD19">
        <f>IF(ROUND(A19*10,3)='Input data'!$B$14*10,N19,0)</f>
        <v>0</v>
      </c>
      <c r="AE19">
        <f>IF(ROUND(A19*10,3)='Input data'!$B$14*10,P19,0)</f>
        <v>0</v>
      </c>
      <c r="AF19">
        <f>IF('Input data'!$B$26="C",IF((3.14159265*1860/4)*((0.001*'Input data'!$B$20)-(2*'Input data'!$B$28*A19))^2*((0.33333*0.001*'Input data'!$B$20)-(2*'Input data'!$B$28*A19))&lt;0,(3.14159265*1860/4)*((0.001*'Input data'!$B$20)-(2*'Input data'!$B$28*A19))^2*((0.33333*0.001*'Input data'!$B$20)-(2*'Input data'!$B$28*A19)),(3.14159265*1860/4)*((0.001*'Input data'!$B$20)-(2*'Input data'!$B$28*A19))^2*((0.33333*0.001*'Input data'!$B$20)-(2*'Input data'!$B$28*A19))),'Input data'!$B$21)</f>
        <v>0.40680208090393727</v>
      </c>
      <c r="AG19">
        <f t="shared" si="6"/>
        <v>0</v>
      </c>
      <c r="AH19">
        <f t="shared" si="7"/>
        <v>0</v>
      </c>
      <c r="AI19">
        <f t="shared" si="8"/>
        <v>0</v>
      </c>
      <c r="AJ19">
        <f t="shared" si="9"/>
        <v>3000</v>
      </c>
      <c r="AK19">
        <f>IF('Input data'!$B$26="S",'Input data'!$B$22,3.1415*(('Input data'!$B$20*0.0005)-('Input data'!$B$28*A19))^2)</f>
        <v>7.8539816250000026E-3</v>
      </c>
    </row>
    <row r="20" spans="1:37" x14ac:dyDescent="0.2">
      <c r="A20">
        <f>A19+'Input data'!$B$24</f>
        <v>1.3</v>
      </c>
      <c r="B20">
        <f>B19+(J19*'Input data'!$B$24)</f>
        <v>7.0021060901898284</v>
      </c>
      <c r="C20">
        <f>C19+(K19*'Input data'!$B$24)</f>
        <v>0</v>
      </c>
      <c r="D20">
        <f>D19+(L19*'Input data'!$B$24)</f>
        <v>54.145217981819215</v>
      </c>
      <c r="E20">
        <f>IF('Input data'!$B$13=2,'Input data'!$B$25*((0.1036*LN(ABS(P19+1)))+0.8731),IF('Input data'!$B$13=3,'Input data'!$B$25*((0.139*LN(ABS(P19+1)))+0.7503),'Input data'!$B$25))</f>
        <v>5.6402310222088641</v>
      </c>
      <c r="F20">
        <f>E20*COS(RADIANS('Input data'!$B$10))</f>
        <v>5.6402310222088641</v>
      </c>
      <c r="G20">
        <f>E20*SIN(RADIANS('Input data'!$B$10))</f>
        <v>0</v>
      </c>
      <c r="H20">
        <f>1.22*EXP(-0.0001065*(P19+'Input data'!$B$12))</f>
        <v>1.2067679703439813</v>
      </c>
      <c r="I20">
        <f t="shared" si="1"/>
        <v>54.162342397642917</v>
      </c>
      <c r="J20">
        <f>-0.5*H20*I20*AK20*'Input data'!$B$19*(B20-F20)/AF20</f>
        <v>-0.43321838924353939</v>
      </c>
      <c r="K20">
        <f>-0.5*H20*I20*AK20*'Input data'!$B$19*(C20-G20)/AF20</f>
        <v>0</v>
      </c>
      <c r="L20">
        <f>(-0.5*H20*AK20*I20*'Input data'!$B$19*D20/AF20)-'Input data'!$B$23</f>
        <v>-27.028829608761082</v>
      </c>
      <c r="M20">
        <f>IF(AF20&gt;0,IF(P19&lt;=Param_1,M19,M19+(B21*'Input data'!$B$24)),M19)</f>
        <v>10.439598987056222</v>
      </c>
      <c r="N20">
        <f>IF(AF20&gt;0,IF(P19&lt;=Param_1,N19,N19+(C21*'Input data'!$B$24)),N19)</f>
        <v>0</v>
      </c>
      <c r="O20">
        <f t="shared" si="0"/>
        <v>0</v>
      </c>
      <c r="P20">
        <f>IF(P19&lt;=-100000,0,IF(AF20&gt;0,IF(P19&lt;Param_1,P19,P19+(D21*'Input data'!$B$24)),P19))</f>
        <v>107.54021261699444</v>
      </c>
      <c r="Q20">
        <f t="shared" si="2"/>
        <v>10.439598987056222</v>
      </c>
      <c r="T20">
        <f t="shared" si="3"/>
        <v>10.439598987056222</v>
      </c>
      <c r="U20">
        <f t="shared" si="4"/>
        <v>0</v>
      </c>
      <c r="V20" s="74">
        <f>IF(X20=0,'Input data'!$Q$22,Q20)</f>
        <v>10.439598987056222</v>
      </c>
      <c r="W20" s="74">
        <f>IF(U20=0,'Input data'!$Q$23,U20)</f>
        <v>0</v>
      </c>
      <c r="X20" s="74">
        <f t="shared" si="5"/>
        <v>107.54021261699444</v>
      </c>
      <c r="Y20">
        <f>IF(P19&lt;Param_1,Y19,A21*'Input data'!$B$25*SIN(RADIANS('Input data'!$B$10)))</f>
        <v>0</v>
      </c>
      <c r="Z20">
        <f>IF(P19&lt;Param_1,Z19,A21*'Input data'!$B$25*COS(RADIANS('Input data'!$B$10)))</f>
        <v>5.8333333333333339</v>
      </c>
      <c r="AA20">
        <f t="shared" si="10"/>
        <v>1.4000000000000001</v>
      </c>
      <c r="AB20">
        <f t="shared" si="11"/>
        <v>1.4000000000000001</v>
      </c>
      <c r="AC20">
        <f>IF(ROUND(A20*10,3)='Input data'!$B$14*10,M20,0)</f>
        <v>0</v>
      </c>
      <c r="AD20">
        <f>IF(ROUND(A20*10,3)='Input data'!$B$14*10,N20,0)</f>
        <v>0</v>
      </c>
      <c r="AE20">
        <f>IF(ROUND(A20*10,3)='Input data'!$B$14*10,P20,0)</f>
        <v>0</v>
      </c>
      <c r="AF20">
        <f>IF('Input data'!$B$26="C",IF((3.14159265*1860/4)*((0.001*'Input data'!$B$20)-(2*'Input data'!$B$28*A20))^2*((0.33333*0.001*'Input data'!$B$20)-(2*'Input data'!$B$28*A20))&lt;0,(3.14159265*1860/4)*((0.001*'Input data'!$B$20)-(2*'Input data'!$B$28*A20))^2*((0.33333*0.001*'Input data'!$B$20)-(2*'Input data'!$B$28*A20)),(3.14159265*1860/4)*((0.001*'Input data'!$B$20)-(2*'Input data'!$B$28*A20))^2*((0.33333*0.001*'Input data'!$B$20)-(2*'Input data'!$B$28*A20))),'Input data'!$B$21)</f>
        <v>0.40680208090393727</v>
      </c>
      <c r="AG20">
        <f t="shared" si="6"/>
        <v>0</v>
      </c>
      <c r="AH20">
        <f t="shared" si="7"/>
        <v>0</v>
      </c>
      <c r="AI20">
        <f t="shared" si="8"/>
        <v>0</v>
      </c>
      <c r="AJ20">
        <f t="shared" si="9"/>
        <v>3000</v>
      </c>
      <c r="AK20">
        <f>IF('Input data'!$B$26="S",'Input data'!$B$22,3.1415*(('Input data'!$B$20*0.0005)-('Input data'!$B$28*A20))^2)</f>
        <v>7.8539816250000026E-3</v>
      </c>
    </row>
    <row r="21" spans="1:37" x14ac:dyDescent="0.2">
      <c r="A21">
        <f>A20+'Input data'!$B$24</f>
        <v>1.4000000000000001</v>
      </c>
      <c r="B21">
        <f>B20+(J20*'Input data'!$B$24)</f>
        <v>6.9587842512654747</v>
      </c>
      <c r="C21">
        <f>C20+(K20*'Input data'!$B$24)</f>
        <v>0</v>
      </c>
      <c r="D21">
        <f>D20+(L20*'Input data'!$B$24)</f>
        <v>51.442335020943105</v>
      </c>
      <c r="E21">
        <f>IF('Input data'!$B$13=2,'Input data'!$B$25*((0.1036*LN(ABS(P20+1)))+0.8731),IF('Input data'!$B$13=3,'Input data'!$B$25*((0.139*LN(ABS(P20+1)))+0.7503),'Input data'!$B$25))</f>
        <v>5.6611904473772254</v>
      </c>
      <c r="F21">
        <f>E21*COS(RADIANS('Input data'!$B$10))</f>
        <v>5.6611904473772254</v>
      </c>
      <c r="G21">
        <f>E21*SIN(RADIANS('Input data'!$B$10))</f>
        <v>0</v>
      </c>
      <c r="H21">
        <f>1.22*EXP(-0.0001065*(P20+'Input data'!$B$12))</f>
        <v>1.2061070104698641</v>
      </c>
      <c r="I21">
        <f t="shared" si="1"/>
        <v>51.458697827353141</v>
      </c>
      <c r="J21">
        <f>-0.5*H21*I21*AK21*'Input data'!$B$19*(B21-F21)/AF21</f>
        <v>-0.39195101903077217</v>
      </c>
      <c r="K21">
        <f>-0.5*H21*I21*AK21*'Input data'!$B$19*(C21-G21)/AF21</f>
        <v>0</v>
      </c>
      <c r="L21">
        <f>(-0.5*H21*AK21*I21*'Input data'!$B$19*D21/AF21)-'Input data'!$B$23</f>
        <v>-25.343665160362839</v>
      </c>
      <c r="M21">
        <f>IF(AF21&gt;0,IF(P20&lt;=Param_1,M20,M20+(B22*'Input data'!$B$24)),M20)</f>
        <v>11.131557901992462</v>
      </c>
      <c r="N21">
        <f>IF(AF21&gt;0,IF(P20&lt;=Param_1,N20,N20+(C22*'Input data'!$B$24)),N20)</f>
        <v>0</v>
      </c>
      <c r="O21">
        <f t="shared" si="0"/>
        <v>0</v>
      </c>
      <c r="P21">
        <f>IF(P20&lt;=-100000,0,IF(AF21&gt;0,IF(P20&lt;Param_1,P20,P20+(D22*'Input data'!$B$24)),P20))</f>
        <v>112.43100946748513</v>
      </c>
      <c r="Q21">
        <f t="shared" si="2"/>
        <v>11.131557901992462</v>
      </c>
      <c r="T21">
        <f t="shared" si="3"/>
        <v>11.131557901992462</v>
      </c>
      <c r="U21">
        <f t="shared" si="4"/>
        <v>0</v>
      </c>
      <c r="V21" s="74">
        <f>IF(X21=0,'Input data'!$Q$22,Q21)</f>
        <v>11.131557901992462</v>
      </c>
      <c r="W21" s="74">
        <f>IF(U21=0,'Input data'!$Q$23,U21)</f>
        <v>0</v>
      </c>
      <c r="X21" s="74">
        <f t="shared" si="5"/>
        <v>112.43100946748513</v>
      </c>
      <c r="Y21">
        <f>IF(P20&lt;Param_1,Y20,A22*'Input data'!$B$25*SIN(RADIANS('Input data'!$B$10)))</f>
        <v>0</v>
      </c>
      <c r="Z21">
        <f>IF(P20&lt;Param_1,Z20,A22*'Input data'!$B$25*COS(RADIANS('Input data'!$B$10)))</f>
        <v>6.2500000000000018</v>
      </c>
      <c r="AA21">
        <f t="shared" si="10"/>
        <v>1.5000000000000002</v>
      </c>
      <c r="AB21">
        <f t="shared" si="11"/>
        <v>1.5000000000000002</v>
      </c>
      <c r="AC21">
        <f>IF(ROUND(A21*10,3)='Input data'!$B$14*10,M21,0)</f>
        <v>0</v>
      </c>
      <c r="AD21">
        <f>IF(ROUND(A21*10,3)='Input data'!$B$14*10,N21,0)</f>
        <v>0</v>
      </c>
      <c r="AE21">
        <f>IF(ROUND(A21*10,3)='Input data'!$B$14*10,P21,0)</f>
        <v>0</v>
      </c>
      <c r="AF21">
        <f>IF('Input data'!$B$26="C",IF((3.14159265*1860/4)*((0.001*'Input data'!$B$20)-(2*'Input data'!$B$28*A21))^2*((0.33333*0.001*'Input data'!$B$20)-(2*'Input data'!$B$28*A21))&lt;0,(3.14159265*1860/4)*((0.001*'Input data'!$B$20)-(2*'Input data'!$B$28*A21))^2*((0.33333*0.001*'Input data'!$B$20)-(2*'Input data'!$B$28*A21)),(3.14159265*1860/4)*((0.001*'Input data'!$B$20)-(2*'Input data'!$B$28*A21))^2*((0.33333*0.001*'Input data'!$B$20)-(2*'Input data'!$B$28*A21))),'Input data'!$B$21)</f>
        <v>0.40680208090393727</v>
      </c>
      <c r="AG21">
        <f t="shared" si="6"/>
        <v>0</v>
      </c>
      <c r="AH21">
        <f t="shared" si="7"/>
        <v>0</v>
      </c>
      <c r="AI21">
        <f t="shared" si="8"/>
        <v>0</v>
      </c>
      <c r="AJ21">
        <f t="shared" si="9"/>
        <v>3000</v>
      </c>
      <c r="AK21">
        <f>IF('Input data'!$B$26="S",'Input data'!$B$22,3.1415*(('Input data'!$B$20*0.0005)-('Input data'!$B$28*A21))^2)</f>
        <v>7.8539816250000026E-3</v>
      </c>
    </row>
    <row r="22" spans="1:37" x14ac:dyDescent="0.2">
      <c r="A22">
        <f>A21+'Input data'!$B$24</f>
        <v>1.5000000000000002</v>
      </c>
      <c r="B22">
        <f>B21+(J21*'Input data'!$B$24)</f>
        <v>6.9195891493623973</v>
      </c>
      <c r="C22">
        <f>C21+(K21*'Input data'!$B$24)</f>
        <v>0</v>
      </c>
      <c r="D22">
        <f>D21+(L21*'Input data'!$B$24)</f>
        <v>48.907968504906819</v>
      </c>
      <c r="E22">
        <f>IF('Input data'!$B$13=2,'Input data'!$B$25*((0.1036*LN(ABS(P21+1)))+0.8731),IF('Input data'!$B$13=3,'Input data'!$B$25*((0.139*LN(ABS(P21+1)))+0.7503),'Input data'!$B$25))</f>
        <v>5.6802157579262111</v>
      </c>
      <c r="F22">
        <f>E22*COS(RADIANS('Input data'!$B$10))</f>
        <v>5.6802157579262111</v>
      </c>
      <c r="G22">
        <f>E22*SIN(RADIANS('Input data'!$B$10))</f>
        <v>0</v>
      </c>
      <c r="H22">
        <f>1.22*EXP(-0.0001065*(P21+'Input data'!$B$12))</f>
        <v>1.2054789492579339</v>
      </c>
      <c r="I22">
        <f t="shared" si="1"/>
        <v>48.923669421664982</v>
      </c>
      <c r="J22">
        <f>-0.5*H22*I22*AK22*'Input data'!$B$19*(B22-F22)/AF22</f>
        <v>-0.3557371510558332</v>
      </c>
      <c r="K22">
        <f>-0.5*H22*I22*AK22*'Input data'!$B$19*(C22-G22)/AF22</f>
        <v>0</v>
      </c>
      <c r="L22">
        <f>(-0.5*H22*AK22*I22*'Input data'!$B$19*D22/AF22)-'Input data'!$B$23</f>
        <v>-23.843046564564951</v>
      </c>
      <c r="M22">
        <f>IF(AF22&gt;0,IF(P21&lt;=Param_1,M21,M21+(B23*'Input data'!$B$24)),M21)</f>
        <v>11.819959445418144</v>
      </c>
      <c r="N22">
        <f>IF(AF22&gt;0,IF(P21&lt;=Param_1,N21,N21+(C23*'Input data'!$B$24)),N21)</f>
        <v>0</v>
      </c>
      <c r="O22">
        <f t="shared" si="0"/>
        <v>0</v>
      </c>
      <c r="P22">
        <f>IF(P21&lt;=-100000,0,IF(AF22&gt;0,IF(P21&lt;Param_1,P21,P21+(D23*'Input data'!$B$24)),P21))</f>
        <v>117.08337585233016</v>
      </c>
      <c r="Q22">
        <f t="shared" si="2"/>
        <v>11.819959445418144</v>
      </c>
      <c r="T22">
        <f t="shared" si="3"/>
        <v>11.819959445418144</v>
      </c>
      <c r="U22">
        <f t="shared" si="4"/>
        <v>0</v>
      </c>
      <c r="V22" s="74">
        <f>IF(X22=0,'Input data'!$Q$22,Q22)</f>
        <v>11.819959445418144</v>
      </c>
      <c r="W22" s="74">
        <f>IF(U22=0,'Input data'!$Q$23,U22)</f>
        <v>0</v>
      </c>
      <c r="X22" s="74">
        <f t="shared" si="5"/>
        <v>117.08337585233016</v>
      </c>
      <c r="Y22">
        <f>IF(P21&lt;Param_1,Y21,A23*'Input data'!$B$25*SIN(RADIANS('Input data'!$B$10)))</f>
        <v>0</v>
      </c>
      <c r="Z22">
        <f>IF(P21&lt;Param_1,Z21,A23*'Input data'!$B$25*COS(RADIANS('Input data'!$B$10)))</f>
        <v>6.6666666666666687</v>
      </c>
      <c r="AA22">
        <f t="shared" si="10"/>
        <v>1.6000000000000003</v>
      </c>
      <c r="AB22">
        <f t="shared" si="11"/>
        <v>1.6000000000000003</v>
      </c>
      <c r="AC22">
        <f>IF(ROUND(A22*10,3)='Input data'!$B$14*10,M22,0)</f>
        <v>0</v>
      </c>
      <c r="AD22">
        <f>IF(ROUND(A22*10,3)='Input data'!$B$14*10,N22,0)</f>
        <v>0</v>
      </c>
      <c r="AE22">
        <f>IF(ROUND(A22*10,3)='Input data'!$B$14*10,P22,0)</f>
        <v>0</v>
      </c>
      <c r="AF22">
        <f>IF('Input data'!$B$26="C",IF((3.14159265*1860/4)*((0.001*'Input data'!$B$20)-(2*'Input data'!$B$28*A22))^2*((0.33333*0.001*'Input data'!$B$20)-(2*'Input data'!$B$28*A22))&lt;0,(3.14159265*1860/4)*((0.001*'Input data'!$B$20)-(2*'Input data'!$B$28*A22))^2*((0.33333*0.001*'Input data'!$B$20)-(2*'Input data'!$B$28*A22)),(3.14159265*1860/4)*((0.001*'Input data'!$B$20)-(2*'Input data'!$B$28*A22))^2*((0.33333*0.001*'Input data'!$B$20)-(2*'Input data'!$B$28*A22))),'Input data'!$B$21)</f>
        <v>0.40680208090393727</v>
      </c>
      <c r="AG22">
        <f t="shared" si="6"/>
        <v>0</v>
      </c>
      <c r="AH22">
        <f t="shared" si="7"/>
        <v>0</v>
      </c>
      <c r="AI22">
        <f t="shared" si="8"/>
        <v>0</v>
      </c>
      <c r="AJ22">
        <f t="shared" si="9"/>
        <v>3000</v>
      </c>
      <c r="AK22">
        <f>IF('Input data'!$B$26="S",'Input data'!$B$22,3.1415*(('Input data'!$B$20*0.0005)-('Input data'!$B$28*A22))^2)</f>
        <v>7.8539816250000026E-3</v>
      </c>
    </row>
    <row r="23" spans="1:37" x14ac:dyDescent="0.2">
      <c r="A23">
        <f>A22+'Input data'!$B$24</f>
        <v>1.6000000000000003</v>
      </c>
      <c r="B23">
        <f>B22+(J22*'Input data'!$B$24)</f>
        <v>6.8840154342568143</v>
      </c>
      <c r="C23">
        <f>C22+(K22*'Input data'!$B$24)</f>
        <v>0</v>
      </c>
      <c r="D23">
        <f>D22+(L22*'Input data'!$B$24)</f>
        <v>46.523663848450326</v>
      </c>
      <c r="E23">
        <f>IF('Input data'!$B$13=2,'Input data'!$B$25*((0.1036*LN(ABS(P22+1)))+0.8731),IF('Input data'!$B$13=3,'Input data'!$B$25*((0.139*LN(ABS(P22+1)))+0.7503),'Input data'!$B$25))</f>
        <v>5.6975670934075184</v>
      </c>
      <c r="F23">
        <f>E23*COS(RADIANS('Input data'!$B$10))</f>
        <v>5.6975670934075184</v>
      </c>
      <c r="G23">
        <f>E23*SIN(RADIANS('Input data'!$B$10))</f>
        <v>0</v>
      </c>
      <c r="H23">
        <f>1.22*EXP(-0.0001065*(P22+'Input data'!$B$12))</f>
        <v>1.2048818100870844</v>
      </c>
      <c r="I23">
        <f t="shared" si="1"/>
        <v>46.538789816121216</v>
      </c>
      <c r="J23">
        <f>-0.5*H23*I23*AK23*'Input data'!$B$19*(B23-F23)/AF23</f>
        <v>-0.32378503184921692</v>
      </c>
      <c r="K23">
        <f>-0.5*H23*I23*AK23*'Input data'!$B$19*(C23-G23)/AF23</f>
        <v>0</v>
      </c>
      <c r="L23">
        <f>(-0.5*H23*AK23*I23*'Input data'!$B$19*D23/AF23)-'Input data'!$B$23</f>
        <v>-22.501436466951201</v>
      </c>
      <c r="M23">
        <f>IF(AF23&gt;0,IF(P22&lt;=Param_1,M22,M22+(B24*'Input data'!$B$24)),M22)</f>
        <v>12.505123138525333</v>
      </c>
      <c r="N23">
        <f>IF(AF23&gt;0,IF(P22&lt;=Param_1,N22,N22+(C24*'Input data'!$B$24)),N22)</f>
        <v>0</v>
      </c>
      <c r="O23">
        <f t="shared" si="0"/>
        <v>0</v>
      </c>
      <c r="P23">
        <f>IF(P22&lt;=-100000,0,IF(AF23&gt;0,IF(P22&lt;Param_1,P22,P22+(D24*'Input data'!$B$24)),P22))</f>
        <v>121.51072787250568</v>
      </c>
      <c r="Q23">
        <f t="shared" si="2"/>
        <v>12.505123138525333</v>
      </c>
      <c r="T23">
        <f t="shared" si="3"/>
        <v>12.505123138525333</v>
      </c>
      <c r="U23">
        <f t="shared" si="4"/>
        <v>0</v>
      </c>
      <c r="V23" s="74">
        <f>IF(X23=0,'Input data'!$Q$22,Q23)</f>
        <v>12.505123138525333</v>
      </c>
      <c r="W23" s="74">
        <f>IF(U23=0,'Input data'!$Q$23,U23)</f>
        <v>0</v>
      </c>
      <c r="X23" s="74">
        <f t="shared" si="5"/>
        <v>121.51072787250568</v>
      </c>
      <c r="Y23">
        <f>IF(P22&lt;Param_1,Y22,A24*'Input data'!$B$25*SIN(RADIANS('Input data'!$B$10)))</f>
        <v>0</v>
      </c>
      <c r="Z23">
        <f>IF(P22&lt;Param_1,Z22,A24*'Input data'!$B$25*COS(RADIANS('Input data'!$B$10)))</f>
        <v>7.0833333333333357</v>
      </c>
      <c r="AA23">
        <f t="shared" si="10"/>
        <v>1.7000000000000004</v>
      </c>
      <c r="AB23">
        <f t="shared" si="11"/>
        <v>1.7000000000000004</v>
      </c>
      <c r="AC23">
        <f>IF(ROUND(A23*10,3)='Input data'!$B$14*10,M23,0)</f>
        <v>0</v>
      </c>
      <c r="AD23">
        <f>IF(ROUND(A23*10,3)='Input data'!$B$14*10,N23,0)</f>
        <v>0</v>
      </c>
      <c r="AE23">
        <f>IF(ROUND(A23*10,3)='Input data'!$B$14*10,P23,0)</f>
        <v>0</v>
      </c>
      <c r="AF23">
        <f>IF('Input data'!$B$26="C",IF((3.14159265*1860/4)*((0.001*'Input data'!$B$20)-(2*'Input data'!$B$28*A23))^2*((0.33333*0.001*'Input data'!$B$20)-(2*'Input data'!$B$28*A23))&lt;0,(3.14159265*1860/4)*((0.001*'Input data'!$B$20)-(2*'Input data'!$B$28*A23))^2*((0.33333*0.001*'Input data'!$B$20)-(2*'Input data'!$B$28*A23)),(3.14159265*1860/4)*((0.001*'Input data'!$B$20)-(2*'Input data'!$B$28*A23))^2*((0.33333*0.001*'Input data'!$B$20)-(2*'Input data'!$B$28*A23))),'Input data'!$B$21)</f>
        <v>0.40680208090393727</v>
      </c>
      <c r="AG23">
        <f t="shared" si="6"/>
        <v>0</v>
      </c>
      <c r="AH23">
        <f t="shared" si="7"/>
        <v>0</v>
      </c>
      <c r="AI23">
        <f t="shared" si="8"/>
        <v>0</v>
      </c>
      <c r="AJ23">
        <f t="shared" si="9"/>
        <v>3000</v>
      </c>
      <c r="AK23">
        <f>IF('Input data'!$B$26="S",'Input data'!$B$22,3.1415*(('Input data'!$B$20*0.0005)-('Input data'!$B$28*A23))^2)</f>
        <v>7.8539816250000026E-3</v>
      </c>
    </row>
    <row r="24" spans="1:37" x14ac:dyDescent="0.2">
      <c r="A24">
        <f>A23+'Input data'!$B$24</f>
        <v>1.7000000000000004</v>
      </c>
      <c r="B24">
        <f>B23+(J23*'Input data'!$B$24)</f>
        <v>6.8516369310718925</v>
      </c>
      <c r="C24">
        <f>C23+(K23*'Input data'!$B$24)</f>
        <v>0</v>
      </c>
      <c r="D24">
        <f>D23+(L23*'Input data'!$B$24)</f>
        <v>44.273520201755204</v>
      </c>
      <c r="E24">
        <f>IF('Input data'!$B$13=2,'Input data'!$B$25*((0.1036*LN(ABS(P23+1)))+0.8731),IF('Input data'!$B$13=3,'Input data'!$B$25*((0.139*LN(ABS(P23+1)))+0.7503),'Input data'!$B$25))</f>
        <v>5.7134557292675456</v>
      </c>
      <c r="F24">
        <f>E24*COS(RADIANS('Input data'!$B$10))</f>
        <v>5.7134557292675456</v>
      </c>
      <c r="G24">
        <f>E24*SIN(RADIANS('Input data'!$B$10))</f>
        <v>0</v>
      </c>
      <c r="H24">
        <f>1.22*EXP(-0.0001065*(P23+'Input data'!$B$12))</f>
        <v>1.2043138265783588</v>
      </c>
      <c r="I24">
        <f t="shared" si="1"/>
        <v>44.288147934897516</v>
      </c>
      <c r="J24">
        <f>-0.5*H24*I24*AK24*'Input data'!$B$19*(B24-F24)/AF24</f>
        <v>-0.29545204546335924</v>
      </c>
      <c r="K24">
        <f>-0.5*H24*I24*AK24*'Input data'!$B$19*(C24-G24)/AF24</f>
        <v>0</v>
      </c>
      <c r="L24">
        <f>(-0.5*H24*AK24*I24*'Input data'!$B$19*D24/AF24)-'Input data'!$B$23</f>
        <v>-21.297635867413057</v>
      </c>
      <c r="M24">
        <f>IF(AF24&gt;0,IF(P23&lt;=Param_1,M23,M23+(B25*'Input data'!$B$24)),M23)</f>
        <v>13.187332311177888</v>
      </c>
      <c r="N24">
        <f>IF(AF24&gt;0,IF(P23&lt;=Param_1,N23,N23+(C25*'Input data'!$B$24)),N23)</f>
        <v>0</v>
      </c>
      <c r="O24">
        <f t="shared" si="0"/>
        <v>0</v>
      </c>
      <c r="P24">
        <f>IF(P23&lt;=-100000,0,IF(AF24&gt;0,IF(P23&lt;Param_1,P23,P23+(D25*'Input data'!$B$24)),P23))</f>
        <v>125.72510353400708</v>
      </c>
      <c r="Q24">
        <f t="shared" si="2"/>
        <v>13.187332311177888</v>
      </c>
      <c r="T24">
        <f t="shared" si="3"/>
        <v>13.187332311177888</v>
      </c>
      <c r="U24">
        <f t="shared" si="4"/>
        <v>0</v>
      </c>
      <c r="V24" s="74">
        <f>IF(X24=0,'Input data'!$Q$22,Q24)</f>
        <v>13.187332311177888</v>
      </c>
      <c r="W24" s="74">
        <f>IF(U24=0,'Input data'!$Q$23,U24)</f>
        <v>0</v>
      </c>
      <c r="X24" s="74">
        <f t="shared" si="5"/>
        <v>125.72510353400708</v>
      </c>
      <c r="Y24">
        <f>IF(P23&lt;Param_1,Y23,A25*'Input data'!$B$25*SIN(RADIANS('Input data'!$B$10)))</f>
        <v>0</v>
      </c>
      <c r="Z24">
        <f>IF(P23&lt;Param_1,Z23,A25*'Input data'!$B$25*COS(RADIANS('Input data'!$B$10)))</f>
        <v>7.5000000000000027</v>
      </c>
      <c r="AA24">
        <f t="shared" si="10"/>
        <v>1.8000000000000005</v>
      </c>
      <c r="AB24">
        <f t="shared" si="11"/>
        <v>1.8000000000000005</v>
      </c>
      <c r="AC24">
        <f>IF(ROUND(A24*10,3)='Input data'!$B$14*10,M24,0)</f>
        <v>0</v>
      </c>
      <c r="AD24">
        <f>IF(ROUND(A24*10,3)='Input data'!$B$14*10,N24,0)</f>
        <v>0</v>
      </c>
      <c r="AE24">
        <f>IF(ROUND(A24*10,3)='Input data'!$B$14*10,P24,0)</f>
        <v>0</v>
      </c>
      <c r="AF24">
        <f>IF('Input data'!$B$26="C",IF((3.14159265*1860/4)*((0.001*'Input data'!$B$20)-(2*'Input data'!$B$28*A24))^2*((0.33333*0.001*'Input data'!$B$20)-(2*'Input data'!$B$28*A24))&lt;0,(3.14159265*1860/4)*((0.001*'Input data'!$B$20)-(2*'Input data'!$B$28*A24))^2*((0.33333*0.001*'Input data'!$B$20)-(2*'Input data'!$B$28*A24)),(3.14159265*1860/4)*((0.001*'Input data'!$B$20)-(2*'Input data'!$B$28*A24))^2*((0.33333*0.001*'Input data'!$B$20)-(2*'Input data'!$B$28*A24))),'Input data'!$B$21)</f>
        <v>0.40680208090393727</v>
      </c>
      <c r="AG24">
        <f t="shared" si="6"/>
        <v>0</v>
      </c>
      <c r="AH24">
        <f t="shared" si="7"/>
        <v>0</v>
      </c>
      <c r="AI24">
        <f t="shared" si="8"/>
        <v>0</v>
      </c>
      <c r="AJ24">
        <f t="shared" si="9"/>
        <v>3000</v>
      </c>
      <c r="AK24">
        <f>IF('Input data'!$B$26="S",'Input data'!$B$22,3.1415*(('Input data'!$B$20*0.0005)-('Input data'!$B$28*A24))^2)</f>
        <v>7.8539816250000026E-3</v>
      </c>
    </row>
    <row r="25" spans="1:37" x14ac:dyDescent="0.2">
      <c r="A25">
        <f>A24+'Input data'!$B$24</f>
        <v>1.8000000000000005</v>
      </c>
      <c r="B25">
        <f>B24+(J24*'Input data'!$B$24)</f>
        <v>6.8220917265255565</v>
      </c>
      <c r="C25">
        <f>C24+(K24*'Input data'!$B$24)</f>
        <v>0</v>
      </c>
      <c r="D25">
        <f>D24+(L24*'Input data'!$B$24)</f>
        <v>42.143756615013899</v>
      </c>
      <c r="E25">
        <f>IF('Input data'!$B$13=2,'Input data'!$B$25*((0.1036*LN(ABS(P24+1)))+0.8731),IF('Input data'!$B$13=3,'Input data'!$B$25*((0.139*LN(ABS(P24+1)))+0.7503),'Input data'!$B$25))</f>
        <v>5.7280553869184878</v>
      </c>
      <c r="F25">
        <f>E25*COS(RADIANS('Input data'!$B$10))</f>
        <v>5.7280553869184878</v>
      </c>
      <c r="G25">
        <f>E25*SIN(RADIANS('Input data'!$B$10))</f>
        <v>0</v>
      </c>
      <c r="H25">
        <f>1.22*EXP(-0.0001065*(P24+'Input data'!$B$12))</f>
        <v>1.2037734144756143</v>
      </c>
      <c r="I25">
        <f t="shared" si="1"/>
        <v>42.157954612835624</v>
      </c>
      <c r="J25">
        <f>-0.5*H25*I25*AK25*'Input data'!$B$19*(B25-F25)/AF25</f>
        <v>-0.27021187329636215</v>
      </c>
      <c r="K25">
        <f>-0.5*H25*I25*AK25*'Input data'!$B$19*(C25-G25)/AF25</f>
        <v>0</v>
      </c>
      <c r="L25">
        <f>(-0.5*H25*AK25*I25*'Input data'!$B$19*D25/AF25)-'Input data'!$B$23</f>
        <v>-20.213926111886607</v>
      </c>
      <c r="M25">
        <f>IF(AF25&gt;0,IF(P24&lt;=Param_1,M24,M24+(B26*'Input data'!$B$24)),M24)</f>
        <v>13.86683936509748</v>
      </c>
      <c r="N25">
        <f>IF(AF25&gt;0,IF(P24&lt;=Param_1,N24,N24+(C26*'Input data'!$B$24)),N24)</f>
        <v>0</v>
      </c>
      <c r="O25">
        <f t="shared" si="0"/>
        <v>0</v>
      </c>
      <c r="P25">
        <f>IF(P24&lt;=-100000,0,IF(AF25&gt;0,IF(P24&lt;Param_1,P24,P24+(D26*'Input data'!$B$24)),P24))</f>
        <v>129.73733993438961</v>
      </c>
      <c r="Q25">
        <f t="shared" si="2"/>
        <v>13.86683936509748</v>
      </c>
      <c r="T25">
        <f t="shared" si="3"/>
        <v>13.86683936509748</v>
      </c>
      <c r="U25">
        <f t="shared" si="4"/>
        <v>0</v>
      </c>
      <c r="V25" s="74">
        <f>IF(X25=0,'Input data'!$Q$22,Q25)</f>
        <v>13.86683936509748</v>
      </c>
      <c r="W25" s="74">
        <f>IF(U25=0,'Input data'!$Q$23,U25)</f>
        <v>0</v>
      </c>
      <c r="X25" s="74">
        <f t="shared" si="5"/>
        <v>129.73733993438961</v>
      </c>
      <c r="Y25">
        <f>IF(P24&lt;Param_1,Y24,A26*'Input data'!$B$25*SIN(RADIANS('Input data'!$B$10)))</f>
        <v>0</v>
      </c>
      <c r="Z25">
        <f>IF(P24&lt;Param_1,Z24,A26*'Input data'!$B$25*COS(RADIANS('Input data'!$B$10)))</f>
        <v>7.9166666666666696</v>
      </c>
      <c r="AA25">
        <f t="shared" si="10"/>
        <v>1.9000000000000006</v>
      </c>
      <c r="AB25">
        <f t="shared" si="11"/>
        <v>1.9000000000000006</v>
      </c>
      <c r="AC25">
        <f>IF(ROUND(A25*10,3)='Input data'!$B$14*10,M25,0)</f>
        <v>0</v>
      </c>
      <c r="AD25">
        <f>IF(ROUND(A25*10,3)='Input data'!$B$14*10,N25,0)</f>
        <v>0</v>
      </c>
      <c r="AE25">
        <f>IF(ROUND(A25*10,3)='Input data'!$B$14*10,P25,0)</f>
        <v>0</v>
      </c>
      <c r="AF25">
        <f>IF('Input data'!$B$26="C",IF((3.14159265*1860/4)*((0.001*'Input data'!$B$20)-(2*'Input data'!$B$28*A25))^2*((0.33333*0.001*'Input data'!$B$20)-(2*'Input data'!$B$28*A25))&lt;0,(3.14159265*1860/4)*((0.001*'Input data'!$B$20)-(2*'Input data'!$B$28*A25))^2*((0.33333*0.001*'Input data'!$B$20)-(2*'Input data'!$B$28*A25)),(3.14159265*1860/4)*((0.001*'Input data'!$B$20)-(2*'Input data'!$B$28*A25))^2*((0.33333*0.001*'Input data'!$B$20)-(2*'Input data'!$B$28*A25))),'Input data'!$B$21)</f>
        <v>0.40680208090393727</v>
      </c>
      <c r="AG25">
        <f t="shared" si="6"/>
        <v>0</v>
      </c>
      <c r="AH25">
        <f t="shared" si="7"/>
        <v>0</v>
      </c>
      <c r="AI25">
        <f t="shared" si="8"/>
        <v>0</v>
      </c>
      <c r="AJ25">
        <f t="shared" si="9"/>
        <v>3000</v>
      </c>
      <c r="AK25">
        <f>IF('Input data'!$B$26="S",'Input data'!$B$22,3.1415*(('Input data'!$B$20*0.0005)-('Input data'!$B$28*A25))^2)</f>
        <v>7.8539816250000026E-3</v>
      </c>
    </row>
    <row r="26" spans="1:37" x14ac:dyDescent="0.2">
      <c r="A26">
        <f>A25+'Input data'!$B$24</f>
        <v>1.9000000000000006</v>
      </c>
      <c r="B26">
        <f>B25+(J25*'Input data'!$B$24)</f>
        <v>6.7950705391959199</v>
      </c>
      <c r="C26">
        <f>C25+(K25*'Input data'!$B$24)</f>
        <v>0</v>
      </c>
      <c r="D26">
        <f>D25+(L25*'Input data'!$B$24)</f>
        <v>40.12236400382524</v>
      </c>
      <c r="E26">
        <f>IF('Input data'!$B$13=2,'Input data'!$B$25*((0.1036*LN(ABS(P25+1)))+0.8731),IF('Input data'!$B$13=3,'Input data'!$B$25*((0.139*LN(ABS(P25+1)))+0.7503),'Input data'!$B$25))</f>
        <v>5.7415104673060293</v>
      </c>
      <c r="F26">
        <f>E26*COS(RADIANS('Input data'!$B$10))</f>
        <v>5.7415104673060293</v>
      </c>
      <c r="G26">
        <f>E26*SIN(RADIANS('Input data'!$B$10))</f>
        <v>0</v>
      </c>
      <c r="H26">
        <f>1.22*EXP(-0.0001065*(P25+'Input data'!$B$12))</f>
        <v>1.2032591481532946</v>
      </c>
      <c r="I26">
        <f t="shared" si="1"/>
        <v>40.136194165373126</v>
      </c>
      <c r="J26">
        <f>-0.5*H26*I26*AK26*'Input data'!$B$19*(B26-F26)/AF26</f>
        <v>-0.24762989037288555</v>
      </c>
      <c r="K26">
        <f>-0.5*H26*I26*AK26*'Input data'!$B$19*(C26-G26)/AF26</f>
        <v>0</v>
      </c>
      <c r="L26">
        <f>(-0.5*H26*AK26*I26*'Input data'!$B$19*D26/AF26)-'Input data'!$B$23</f>
        <v>-19.235403509831027</v>
      </c>
      <c r="M26">
        <f>IF(AF26&gt;0,IF(P25&lt;=Param_1,M25,M25+(B27*'Input data'!$B$24)),M25)</f>
        <v>14.543870120113343</v>
      </c>
      <c r="N26">
        <f>IF(AF26&gt;0,IF(P25&lt;=Param_1,N25,N25+(C27*'Input data'!$B$24)),N25)</f>
        <v>0</v>
      </c>
      <c r="O26">
        <f t="shared" si="0"/>
        <v>0</v>
      </c>
      <c r="P26">
        <f>IF(P25&lt;=-100000,0,IF(AF26&gt;0,IF(P25&lt;Param_1,P25,P25+(D27*'Input data'!$B$24)),P25))</f>
        <v>133.55722229967381</v>
      </c>
      <c r="Q26">
        <f t="shared" si="2"/>
        <v>14.543870120113343</v>
      </c>
      <c r="T26">
        <f t="shared" si="3"/>
        <v>14.543870120113343</v>
      </c>
      <c r="U26">
        <f t="shared" si="4"/>
        <v>0</v>
      </c>
      <c r="V26" s="74">
        <f>IF(X26=0,'Input data'!$Q$22,Q26)</f>
        <v>14.543870120113343</v>
      </c>
      <c r="W26" s="74">
        <f>IF(U26=0,'Input data'!$Q$23,U26)</f>
        <v>0</v>
      </c>
      <c r="X26" s="74">
        <f t="shared" si="5"/>
        <v>133.55722229967381</v>
      </c>
      <c r="Y26">
        <f>IF(P25&lt;Param_1,Y25,A27*'Input data'!$B$25*SIN(RADIANS('Input data'!$B$10)))</f>
        <v>0</v>
      </c>
      <c r="Z26">
        <f>IF(P25&lt;Param_1,Z25,A27*'Input data'!$B$25*COS(RADIANS('Input data'!$B$10)))</f>
        <v>8.3333333333333357</v>
      </c>
      <c r="AA26">
        <f t="shared" si="10"/>
        <v>2.0000000000000004</v>
      </c>
      <c r="AB26">
        <f t="shared" si="11"/>
        <v>2.0000000000000004</v>
      </c>
      <c r="AC26">
        <f>IF(ROUND(A26*10,3)='Input data'!$B$14*10,M26,0)</f>
        <v>0</v>
      </c>
      <c r="AD26">
        <f>IF(ROUND(A26*10,3)='Input data'!$B$14*10,N26,0)</f>
        <v>0</v>
      </c>
      <c r="AE26">
        <f>IF(ROUND(A26*10,3)='Input data'!$B$14*10,P26,0)</f>
        <v>0</v>
      </c>
      <c r="AF26">
        <f>IF('Input data'!$B$26="C",IF((3.14159265*1860/4)*((0.001*'Input data'!$B$20)-(2*'Input data'!$B$28*A26))^2*((0.33333*0.001*'Input data'!$B$20)-(2*'Input data'!$B$28*A26))&lt;0,(3.14159265*1860/4)*((0.001*'Input data'!$B$20)-(2*'Input data'!$B$28*A26))^2*((0.33333*0.001*'Input data'!$B$20)-(2*'Input data'!$B$28*A26)),(3.14159265*1860/4)*((0.001*'Input data'!$B$20)-(2*'Input data'!$B$28*A26))^2*((0.33333*0.001*'Input data'!$B$20)-(2*'Input data'!$B$28*A26))),'Input data'!$B$21)</f>
        <v>0.40680208090393727</v>
      </c>
      <c r="AG26">
        <f t="shared" si="6"/>
        <v>0</v>
      </c>
      <c r="AH26">
        <f t="shared" si="7"/>
        <v>0</v>
      </c>
      <c r="AI26">
        <f t="shared" si="8"/>
        <v>0</v>
      </c>
      <c r="AJ26">
        <f t="shared" si="9"/>
        <v>3000</v>
      </c>
      <c r="AK26">
        <f>IF('Input data'!$B$26="S",'Input data'!$B$22,3.1415*(('Input data'!$B$20*0.0005)-('Input data'!$B$28*A26))^2)</f>
        <v>7.8539816250000026E-3</v>
      </c>
    </row>
    <row r="27" spans="1:37" x14ac:dyDescent="0.2">
      <c r="A27">
        <f>A26+'Input data'!$B$24</f>
        <v>2.0000000000000004</v>
      </c>
      <c r="B27">
        <f>B26+(J26*'Input data'!$B$24)</f>
        <v>6.7703075501586314</v>
      </c>
      <c r="C27">
        <f>C26+(K26*'Input data'!$B$24)</f>
        <v>0</v>
      </c>
      <c r="D27">
        <f>D26+(L26*'Input data'!$B$24)</f>
        <v>38.198823652842137</v>
      </c>
      <c r="E27">
        <f>IF('Input data'!$B$13=2,'Input data'!$B$25*((0.1036*LN(ABS(P26+1)))+0.8731),IF('Input data'!$B$13=3,'Input data'!$B$25*((0.139*LN(ABS(P26+1)))+0.7503),'Input data'!$B$25))</f>
        <v>5.7539421571197815</v>
      </c>
      <c r="F27">
        <f>E27*COS(RADIANS('Input data'!$B$10))</f>
        <v>5.7539421571197815</v>
      </c>
      <c r="G27">
        <f>E27*SIN(RADIANS('Input data'!$B$10))</f>
        <v>0</v>
      </c>
      <c r="H27">
        <f>1.22*EXP(-0.0001065*(P26+'Input data'!$B$12))</f>
        <v>1.2027697408650666</v>
      </c>
      <c r="I27">
        <f t="shared" si="1"/>
        <v>38.212342601221124</v>
      </c>
      <c r="J27">
        <f>-0.5*H27*I27*AK27*'Input data'!$B$19*(B27-F27)/AF27</f>
        <v>-0.22734448658655357</v>
      </c>
      <c r="K27">
        <f>-0.5*H27*I27*AK27*'Input data'!$B$19*(C27-G27)/AF27</f>
        <v>0</v>
      </c>
      <c r="L27">
        <f>(-0.5*H27*AK27*I27*'Input data'!$B$19*D27/AF27)-'Input data'!$B$23</f>
        <v>-18.349458529427462</v>
      </c>
      <c r="M27">
        <f>IF(AF27&gt;0,IF(P26&lt;=Param_1,M26,M26+(B28*'Input data'!$B$24)),M26)</f>
        <v>15.218627430263341</v>
      </c>
      <c r="N27">
        <f>IF(AF27&gt;0,IF(P26&lt;=Param_1,N26,N26+(C28*'Input data'!$B$24)),N26)</f>
        <v>0</v>
      </c>
      <c r="O27">
        <f t="shared" si="0"/>
        <v>0</v>
      </c>
      <c r="P27">
        <f>IF(P26&lt;=-100000,0,IF(AF27&gt;0,IF(P26&lt;Param_1,P26,P26+(D28*'Input data'!$B$24)),P26))</f>
        <v>137.19361007966376</v>
      </c>
      <c r="Q27">
        <f t="shared" si="2"/>
        <v>15.218627430263341</v>
      </c>
      <c r="T27">
        <f t="shared" si="3"/>
        <v>15.218627430263341</v>
      </c>
      <c r="U27">
        <f t="shared" si="4"/>
        <v>0</v>
      </c>
      <c r="V27" s="74">
        <f>IF(X27=0,'Input data'!$Q$22,Q27)</f>
        <v>15.218627430263341</v>
      </c>
      <c r="W27" s="74">
        <f>IF(U27=0,'Input data'!$Q$23,U27)</f>
        <v>0</v>
      </c>
      <c r="X27" s="74">
        <f t="shared" si="5"/>
        <v>137.19361007966376</v>
      </c>
      <c r="Y27">
        <f>IF(P26&lt;Param_1,Y26,A28*'Input data'!$B$25*SIN(RADIANS('Input data'!$B$10)))</f>
        <v>0</v>
      </c>
      <c r="Z27">
        <f>IF(P26&lt;Param_1,Z26,A28*'Input data'!$B$25*COS(RADIANS('Input data'!$B$10)))</f>
        <v>8.7500000000000036</v>
      </c>
      <c r="AA27">
        <f t="shared" si="10"/>
        <v>2.1000000000000005</v>
      </c>
      <c r="AB27">
        <f t="shared" si="11"/>
        <v>2.1000000000000005</v>
      </c>
      <c r="AC27">
        <f>IF(ROUND(A27*10,3)='Input data'!$B$14*10,M27,0)</f>
        <v>0</v>
      </c>
      <c r="AD27">
        <f>IF(ROUND(A27*10,3)='Input data'!$B$14*10,N27,0)</f>
        <v>0</v>
      </c>
      <c r="AE27">
        <f>IF(ROUND(A27*10,3)='Input data'!$B$14*10,P27,0)</f>
        <v>0</v>
      </c>
      <c r="AF27">
        <f>IF('Input data'!$B$26="C",IF((3.14159265*1860/4)*((0.001*'Input data'!$B$20)-(2*'Input data'!$B$28*A27))^2*((0.33333*0.001*'Input data'!$B$20)-(2*'Input data'!$B$28*A27))&lt;0,(3.14159265*1860/4)*((0.001*'Input data'!$B$20)-(2*'Input data'!$B$28*A27))^2*((0.33333*0.001*'Input data'!$B$20)-(2*'Input data'!$B$28*A27)),(3.14159265*1860/4)*((0.001*'Input data'!$B$20)-(2*'Input data'!$B$28*A27))^2*((0.33333*0.001*'Input data'!$B$20)-(2*'Input data'!$B$28*A27))),'Input data'!$B$21)</f>
        <v>0.40680208090393727</v>
      </c>
      <c r="AG27">
        <f t="shared" si="6"/>
        <v>0</v>
      </c>
      <c r="AH27">
        <f t="shared" si="7"/>
        <v>0</v>
      </c>
      <c r="AI27">
        <f t="shared" si="8"/>
        <v>0</v>
      </c>
      <c r="AJ27">
        <f t="shared" si="9"/>
        <v>3000</v>
      </c>
      <c r="AK27">
        <f>IF('Input data'!$B$26="S",'Input data'!$B$22,3.1415*(('Input data'!$B$20*0.0005)-('Input data'!$B$28*A27))^2)</f>
        <v>7.8539816250000026E-3</v>
      </c>
    </row>
    <row r="28" spans="1:37" x14ac:dyDescent="0.2">
      <c r="A28">
        <f>A27+'Input data'!$B$24</f>
        <v>2.1000000000000005</v>
      </c>
      <c r="B28">
        <f>B27+(J27*'Input data'!$B$24)</f>
        <v>6.7475731014999765</v>
      </c>
      <c r="C28">
        <f>C27+(K27*'Input data'!$B$24)</f>
        <v>0</v>
      </c>
      <c r="D28">
        <f>D27+(L27*'Input data'!$B$24)</f>
        <v>36.363877799899392</v>
      </c>
      <c r="E28">
        <f>IF('Input data'!$B$13=2,'Input data'!$B$25*((0.1036*LN(ABS(P27+1)))+0.8731),IF('Input data'!$B$13=3,'Input data'!$B$25*((0.139*LN(ABS(P27+1)))+0.7503),'Input data'!$B$25))</f>
        <v>5.7654530323958344</v>
      </c>
      <c r="F28">
        <f>E28*COS(RADIANS('Input data'!$B$10))</f>
        <v>5.7654530323958344</v>
      </c>
      <c r="G28">
        <f>E28*SIN(RADIANS('Input data'!$B$10))</f>
        <v>0</v>
      </c>
      <c r="H28">
        <f>1.22*EXP(-0.0001065*(P27+'Input data'!$B$12))</f>
        <v>1.2023040280399209</v>
      </c>
      <c r="I28">
        <f t="shared" si="1"/>
        <v>36.377137991823282</v>
      </c>
      <c r="J28">
        <f>-0.5*H28*I28*AK28*'Input data'!$B$19*(B28-F28)/AF28</f>
        <v>-0.20905271696656832</v>
      </c>
      <c r="K28">
        <f>-0.5*H28*I28*AK28*'Input data'!$B$19*(C28-G28)/AF28</f>
        <v>0</v>
      </c>
      <c r="L28">
        <f>(-0.5*H28*AK28*I28*'Input data'!$B$19*D28/AF28)-'Input data'!$B$23</f>
        <v>-17.545364638351714</v>
      </c>
      <c r="M28">
        <f>IF(AF28&gt;0,IF(P27&lt;=Param_1,M27,M27+(B29*'Input data'!$B$24)),M27)</f>
        <v>15.891294213243674</v>
      </c>
      <c r="N28">
        <f>IF(AF28&gt;0,IF(P27&lt;=Param_1,N27,N27+(C29*'Input data'!$B$24)),N27)</f>
        <v>0</v>
      </c>
      <c r="O28">
        <f t="shared" si="0"/>
        <v>0</v>
      </c>
      <c r="P28">
        <f>IF(P27&lt;=-100000,0,IF(AF28&gt;0,IF(P27&lt;Param_1,P27,P27+(D29*'Input data'!$B$24)),P27))</f>
        <v>140.65454421327019</v>
      </c>
      <c r="Q28">
        <f t="shared" si="2"/>
        <v>15.891294213243674</v>
      </c>
      <c r="T28">
        <f t="shared" si="3"/>
        <v>15.891294213243674</v>
      </c>
      <c r="U28">
        <f t="shared" si="4"/>
        <v>0</v>
      </c>
      <c r="V28" s="74">
        <f>IF(X28=0,'Input data'!$Q$22,Q28)</f>
        <v>15.891294213243674</v>
      </c>
      <c r="W28" s="74">
        <f>IF(U28=0,'Input data'!$Q$23,U28)</f>
        <v>0</v>
      </c>
      <c r="X28" s="74">
        <f t="shared" si="5"/>
        <v>140.65454421327019</v>
      </c>
      <c r="Y28">
        <f>IF(P27&lt;Param_1,Y27,A29*'Input data'!$B$25*SIN(RADIANS('Input data'!$B$10)))</f>
        <v>0</v>
      </c>
      <c r="Z28">
        <f>IF(P27&lt;Param_1,Z27,A29*'Input data'!$B$25*COS(RADIANS('Input data'!$B$10)))</f>
        <v>9.1666666666666696</v>
      </c>
      <c r="AA28">
        <f t="shared" si="10"/>
        <v>2.2000000000000006</v>
      </c>
      <c r="AB28">
        <f t="shared" si="11"/>
        <v>2.2000000000000006</v>
      </c>
      <c r="AC28">
        <f>IF(ROUND(A28*10,3)='Input data'!$B$14*10,M28,0)</f>
        <v>0</v>
      </c>
      <c r="AD28">
        <f>IF(ROUND(A28*10,3)='Input data'!$B$14*10,N28,0)</f>
        <v>0</v>
      </c>
      <c r="AE28">
        <f>IF(ROUND(A28*10,3)='Input data'!$B$14*10,P28,0)</f>
        <v>0</v>
      </c>
      <c r="AF28">
        <f>IF('Input data'!$B$26="C",IF((3.14159265*1860/4)*((0.001*'Input data'!$B$20)-(2*'Input data'!$B$28*A28))^2*((0.33333*0.001*'Input data'!$B$20)-(2*'Input data'!$B$28*A28))&lt;0,(3.14159265*1860/4)*((0.001*'Input data'!$B$20)-(2*'Input data'!$B$28*A28))^2*((0.33333*0.001*'Input data'!$B$20)-(2*'Input data'!$B$28*A28)),(3.14159265*1860/4)*((0.001*'Input data'!$B$20)-(2*'Input data'!$B$28*A28))^2*((0.33333*0.001*'Input data'!$B$20)-(2*'Input data'!$B$28*A28))),'Input data'!$B$21)</f>
        <v>0.40680208090393727</v>
      </c>
      <c r="AG28">
        <f t="shared" si="6"/>
        <v>0</v>
      </c>
      <c r="AH28">
        <f t="shared" si="7"/>
        <v>0</v>
      </c>
      <c r="AI28">
        <f t="shared" si="8"/>
        <v>0</v>
      </c>
      <c r="AJ28">
        <f t="shared" si="9"/>
        <v>3000</v>
      </c>
      <c r="AK28">
        <f>IF('Input data'!$B$26="S",'Input data'!$B$22,3.1415*(('Input data'!$B$20*0.0005)-('Input data'!$B$28*A28))^2)</f>
        <v>7.8539816250000026E-3</v>
      </c>
    </row>
    <row r="29" spans="1:37" x14ac:dyDescent="0.2">
      <c r="A29">
        <f>A28+'Input data'!$B$24</f>
        <v>2.2000000000000006</v>
      </c>
      <c r="B29">
        <f>B28+(J28*'Input data'!$B$24)</f>
        <v>6.7266678298033193</v>
      </c>
      <c r="C29">
        <f>C28+(K28*'Input data'!$B$24)</f>
        <v>0</v>
      </c>
      <c r="D29">
        <f>D28+(L28*'Input data'!$B$24)</f>
        <v>34.609341336064219</v>
      </c>
      <c r="E29">
        <f>IF('Input data'!$B$13=2,'Input data'!$B$25*((0.1036*LN(ABS(P28+1)))+0.8731),IF('Input data'!$B$13=3,'Input data'!$B$25*((0.139*LN(ABS(P28+1)))+0.7503),'Input data'!$B$25))</f>
        <v>5.7761305805682417</v>
      </c>
      <c r="F29">
        <f>E29*COS(RADIANS('Input data'!$B$10))</f>
        <v>5.7761305805682417</v>
      </c>
      <c r="G29">
        <f>E29*SIN(RADIANS('Input data'!$B$10))</f>
        <v>0</v>
      </c>
      <c r="H29">
        <f>1.22*EXP(-0.0001065*(P28+'Input data'!$B$12))</f>
        <v>1.2018609530785389</v>
      </c>
      <c r="I29">
        <f t="shared" si="1"/>
        <v>34.622392014105365</v>
      </c>
      <c r="J29">
        <f>-0.5*H29*I29*AK29*'Input data'!$B$19*(B29-F29)/AF29</f>
        <v>-0.19249915901836973</v>
      </c>
      <c r="K29">
        <f>-0.5*H29*I29*AK29*'Input data'!$B$19*(C29-G29)/AF29</f>
        <v>0</v>
      </c>
      <c r="L29">
        <f>(-0.5*H29*AK29*I29*'Input data'!$B$19*D29/AF29)-'Input data'!$B$23</f>
        <v>-16.813951102898244</v>
      </c>
      <c r="M29">
        <f>IF(AF29&gt;0,IF(P28&lt;=Param_1,M28,M28+(B30*'Input data'!$B$24)),M28)</f>
        <v>16.562036004633821</v>
      </c>
      <c r="N29">
        <f>IF(AF29&gt;0,IF(P28&lt;=Param_1,N28,N28+(C30*'Input data'!$B$24)),N28)</f>
        <v>0</v>
      </c>
      <c r="O29">
        <f t="shared" si="0"/>
        <v>0</v>
      </c>
      <c r="P29">
        <f>IF(P28&lt;=-100000,0,IF(AF29&gt;0,IF(P28&lt;Param_1,P28,P28+(D30*'Input data'!$B$24)),P28))</f>
        <v>143.94733883584763</v>
      </c>
      <c r="Q29">
        <f t="shared" si="2"/>
        <v>16.562036004633821</v>
      </c>
      <c r="T29">
        <f t="shared" si="3"/>
        <v>16.562036004633821</v>
      </c>
      <c r="U29">
        <f t="shared" si="4"/>
        <v>0</v>
      </c>
      <c r="V29" s="74">
        <f>IF(X29=0,'Input data'!$Q$22,Q29)</f>
        <v>16.562036004633821</v>
      </c>
      <c r="W29" s="74">
        <f>IF(U29=0,'Input data'!$Q$23,U29)</f>
        <v>0</v>
      </c>
      <c r="X29" s="74">
        <f t="shared" si="5"/>
        <v>143.94733883584763</v>
      </c>
      <c r="Y29">
        <f>IF(P28&lt;Param_1,Y28,A30*'Input data'!$B$25*SIN(RADIANS('Input data'!$B$10)))</f>
        <v>0</v>
      </c>
      <c r="Z29">
        <f>IF(P28&lt;Param_1,Z28,A30*'Input data'!$B$25*COS(RADIANS('Input data'!$B$10)))</f>
        <v>9.5833333333333375</v>
      </c>
      <c r="AA29">
        <f t="shared" si="10"/>
        <v>2.3000000000000007</v>
      </c>
      <c r="AB29">
        <f t="shared" si="11"/>
        <v>2.3000000000000007</v>
      </c>
      <c r="AC29">
        <f>IF(ROUND(A29*10,3)='Input data'!$B$14*10,M29,0)</f>
        <v>0</v>
      </c>
      <c r="AD29">
        <f>IF(ROUND(A29*10,3)='Input data'!$B$14*10,N29,0)</f>
        <v>0</v>
      </c>
      <c r="AE29">
        <f>IF(ROUND(A29*10,3)='Input data'!$B$14*10,P29,0)</f>
        <v>0</v>
      </c>
      <c r="AF29">
        <f>IF('Input data'!$B$26="C",IF((3.14159265*1860/4)*((0.001*'Input data'!$B$20)-(2*'Input data'!$B$28*A29))^2*((0.33333*0.001*'Input data'!$B$20)-(2*'Input data'!$B$28*A29))&lt;0,(3.14159265*1860/4)*((0.001*'Input data'!$B$20)-(2*'Input data'!$B$28*A29))^2*((0.33333*0.001*'Input data'!$B$20)-(2*'Input data'!$B$28*A29)),(3.14159265*1860/4)*((0.001*'Input data'!$B$20)-(2*'Input data'!$B$28*A29))^2*((0.33333*0.001*'Input data'!$B$20)-(2*'Input data'!$B$28*A29))),'Input data'!$B$21)</f>
        <v>0.40680208090393727</v>
      </c>
      <c r="AG29">
        <f t="shared" si="6"/>
        <v>0</v>
      </c>
      <c r="AH29">
        <f t="shared" si="7"/>
        <v>0</v>
      </c>
      <c r="AI29">
        <f t="shared" si="8"/>
        <v>0</v>
      </c>
      <c r="AJ29">
        <f t="shared" si="9"/>
        <v>3000</v>
      </c>
      <c r="AK29">
        <f>IF('Input data'!$B$26="S",'Input data'!$B$22,3.1415*(('Input data'!$B$20*0.0005)-('Input data'!$B$28*A29))^2)</f>
        <v>7.8539816250000026E-3</v>
      </c>
    </row>
    <row r="30" spans="1:37" x14ac:dyDescent="0.2">
      <c r="A30">
        <f>A29+'Input data'!$B$24</f>
        <v>2.3000000000000007</v>
      </c>
      <c r="B30">
        <f>B29+(J29*'Input data'!$B$24)</f>
        <v>6.707417913901482</v>
      </c>
      <c r="C30">
        <f>C29+(K29*'Input data'!$B$24)</f>
        <v>0</v>
      </c>
      <c r="D30">
        <f>D29+(L29*'Input data'!$B$24)</f>
        <v>32.927946225774392</v>
      </c>
      <c r="E30">
        <f>IF('Input data'!$B$13=2,'Input data'!$B$25*((0.1036*LN(ABS(P29+1)))+0.8731),IF('Input data'!$B$13=3,'Input data'!$B$25*((0.139*LN(ABS(P29+1)))+0.7503),'Input data'!$B$25))</f>
        <v>5.7860499307785807</v>
      </c>
      <c r="F30">
        <f>E30*COS(RADIANS('Input data'!$B$10))</f>
        <v>5.7860499307785807</v>
      </c>
      <c r="G30">
        <f>E30*SIN(RADIANS('Input data'!$B$10))</f>
        <v>0</v>
      </c>
      <c r="H30">
        <f>1.22*EXP(-0.0001065*(P29+'Input data'!$B$12))</f>
        <v>1.2014395552146324</v>
      </c>
      <c r="I30">
        <f t="shared" si="1"/>
        <v>32.940834257920883</v>
      </c>
      <c r="J30">
        <f>-0.5*H30*I30*AK30*'Input data'!$B$19*(B30-F30)/AF30</f>
        <v>-0.17746717569688814</v>
      </c>
      <c r="K30">
        <f>-0.5*H30*I30*AK30*'Input data'!$B$19*(C30-G30)/AF30</f>
        <v>0</v>
      </c>
      <c r="L30">
        <f>(-0.5*H30*AK30*I30*'Input data'!$B$19*D30/AF30)-'Input data'!$B$23</f>
        <v>-16.147340655663641</v>
      </c>
      <c r="M30">
        <f>IF(AF30&gt;0,IF(P29&lt;=Param_1,M29,M29+(B31*'Input data'!$B$24)),M29)</f>
        <v>17.231003124267001</v>
      </c>
      <c r="N30">
        <f>IF(AF30&gt;0,IF(P29&lt;=Param_1,N29,N29+(C31*'Input data'!$B$24)),N29)</f>
        <v>0</v>
      </c>
      <c r="O30">
        <f t="shared" si="0"/>
        <v>0</v>
      </c>
      <c r="P30">
        <f>IF(P29&lt;=-100000,0,IF(AF30&gt;0,IF(P29&lt;Param_1,P29,P29+(D31*'Input data'!$B$24)),P29))</f>
        <v>147.07866005186844</v>
      </c>
      <c r="Q30">
        <f t="shared" si="2"/>
        <v>17.231003124267001</v>
      </c>
      <c r="T30">
        <f t="shared" si="3"/>
        <v>17.231003124267001</v>
      </c>
      <c r="U30">
        <f t="shared" si="4"/>
        <v>0</v>
      </c>
      <c r="V30" s="74">
        <f>IF(X30=0,'Input data'!$Q$22,Q30)</f>
        <v>17.231003124267001</v>
      </c>
      <c r="W30" s="74">
        <f>IF(U30=0,'Input data'!$Q$23,U30)</f>
        <v>0</v>
      </c>
      <c r="X30" s="74">
        <f t="shared" si="5"/>
        <v>147.07866005186844</v>
      </c>
      <c r="Y30">
        <f>IF(P29&lt;Param_1,Y29,A31*'Input data'!$B$25*SIN(RADIANS('Input data'!$B$10)))</f>
        <v>0</v>
      </c>
      <c r="Z30">
        <f>IF(P29&lt;Param_1,Z29,A31*'Input data'!$B$25*COS(RADIANS('Input data'!$B$10)))</f>
        <v>10.000000000000004</v>
      </c>
      <c r="AA30">
        <f t="shared" si="10"/>
        <v>2.4000000000000008</v>
      </c>
      <c r="AB30">
        <f t="shared" si="11"/>
        <v>2.4000000000000008</v>
      </c>
      <c r="AC30">
        <f>IF(ROUND(A30*10,3)='Input data'!$B$14*10,M30,0)</f>
        <v>0</v>
      </c>
      <c r="AD30">
        <f>IF(ROUND(A30*10,3)='Input data'!$B$14*10,N30,0)</f>
        <v>0</v>
      </c>
      <c r="AE30">
        <f>IF(ROUND(A30*10,3)='Input data'!$B$14*10,P30,0)</f>
        <v>0</v>
      </c>
      <c r="AF30">
        <f>IF('Input data'!$B$26="C",IF((3.14159265*1860/4)*((0.001*'Input data'!$B$20)-(2*'Input data'!$B$28*A30))^2*((0.33333*0.001*'Input data'!$B$20)-(2*'Input data'!$B$28*A30))&lt;0,(3.14159265*1860/4)*((0.001*'Input data'!$B$20)-(2*'Input data'!$B$28*A30))^2*((0.33333*0.001*'Input data'!$B$20)-(2*'Input data'!$B$28*A30)),(3.14159265*1860/4)*((0.001*'Input data'!$B$20)-(2*'Input data'!$B$28*A30))^2*((0.33333*0.001*'Input data'!$B$20)-(2*'Input data'!$B$28*A30))),'Input data'!$B$21)</f>
        <v>0.40680208090393727</v>
      </c>
      <c r="AG30">
        <f t="shared" si="6"/>
        <v>0</v>
      </c>
      <c r="AH30">
        <f t="shared" si="7"/>
        <v>0</v>
      </c>
      <c r="AI30">
        <f t="shared" si="8"/>
        <v>0</v>
      </c>
      <c r="AJ30">
        <f t="shared" si="9"/>
        <v>3000</v>
      </c>
      <c r="AK30">
        <f>IF('Input data'!$B$26="S",'Input data'!$B$22,3.1415*(('Input data'!$B$20*0.0005)-('Input data'!$B$28*A30))^2)</f>
        <v>7.8539816250000026E-3</v>
      </c>
    </row>
    <row r="31" spans="1:37" x14ac:dyDescent="0.2">
      <c r="A31">
        <f>A30+'Input data'!$B$24</f>
        <v>2.4000000000000008</v>
      </c>
      <c r="B31">
        <f>B30+(J30*'Input data'!$B$24)</f>
        <v>6.6896711963317932</v>
      </c>
      <c r="C31">
        <f>C30+(K30*'Input data'!$B$24)</f>
        <v>0</v>
      </c>
      <c r="D31">
        <f>D30+(L30*'Input data'!$B$24)</f>
        <v>31.313212160208028</v>
      </c>
      <c r="E31">
        <f>IF('Input data'!$B$13=2,'Input data'!$B$25*((0.1036*LN(ABS(P30+1)))+0.8731),IF('Input data'!$B$13=3,'Input data'!$B$25*((0.139*LN(ABS(P30+1)))+0.7503),'Input data'!$B$25))</f>
        <v>5.7952759957128288</v>
      </c>
      <c r="F31">
        <f>E31*COS(RADIANS('Input data'!$B$10))</f>
        <v>5.7952759957128288</v>
      </c>
      <c r="G31">
        <f>E31*SIN(RADIANS('Input data'!$B$10))</f>
        <v>0</v>
      </c>
      <c r="H31">
        <f>1.22*EXP(-0.0001065*(P30+'Input data'!$B$12))</f>
        <v>1.2010389590923864</v>
      </c>
      <c r="I31">
        <f t="shared" si="1"/>
        <v>31.325982802860153</v>
      </c>
      <c r="J31">
        <f>-0.5*H31*I31*AK31*'Input data'!$B$19*(B31-F31)/AF31</f>
        <v>-0.16377200327714317</v>
      </c>
      <c r="K31">
        <f>-0.5*H31*I31*AK31*'Input data'!$B$19*(C31-G31)/AF31</f>
        <v>0</v>
      </c>
      <c r="L31">
        <f>(-0.5*H31*AK31*I31*'Input data'!$B$19*D31/AF31)-'Input data'!$B$23</f>
        <v>-15.538737704507458</v>
      </c>
      <c r="M31">
        <f>IF(AF31&gt;0,IF(P30&lt;=Param_1,M30,M30+(B32*'Input data'!$B$24)),M30)</f>
        <v>17.89833252386741</v>
      </c>
      <c r="N31">
        <f>IF(AF31&gt;0,IF(P30&lt;=Param_1,N30,N30+(C32*'Input data'!$B$24)),N30)</f>
        <v>0</v>
      </c>
      <c r="O31">
        <f t="shared" si="0"/>
        <v>0</v>
      </c>
      <c r="P31">
        <f>IF(P30&lt;=-100000,0,IF(AF31&gt;0,IF(P30&lt;Param_1,P30,P30+(D32*'Input data'!$B$24)),P30))</f>
        <v>150.05459389084416</v>
      </c>
      <c r="Q31">
        <f t="shared" si="2"/>
        <v>17.89833252386741</v>
      </c>
      <c r="T31">
        <f t="shared" si="3"/>
        <v>17.89833252386741</v>
      </c>
      <c r="U31">
        <f t="shared" si="4"/>
        <v>0</v>
      </c>
      <c r="V31" s="74">
        <f>IF(X31=0,'Input data'!$Q$22,Q31)</f>
        <v>17.89833252386741</v>
      </c>
      <c r="W31" s="74">
        <f>IF(U31=0,'Input data'!$Q$23,U31)</f>
        <v>0</v>
      </c>
      <c r="X31" s="74">
        <f t="shared" ref="X31:X94" si="12">IF(P31&lt;0,0,P31)</f>
        <v>150.05459389084416</v>
      </c>
      <c r="Y31">
        <f>IF(P30&lt;Param_1,Y30,A32*'Input data'!$B$25*SIN(RADIANS('Input data'!$B$10)))</f>
        <v>0</v>
      </c>
      <c r="Z31">
        <f>IF(P30&lt;Param_1,Z30,A32*'Input data'!$B$25*COS(RADIANS('Input data'!$B$10)))</f>
        <v>10.416666666666671</v>
      </c>
      <c r="AA31">
        <f t="shared" si="10"/>
        <v>2.5000000000000009</v>
      </c>
      <c r="AB31">
        <f t="shared" si="11"/>
        <v>2.5000000000000009</v>
      </c>
      <c r="AC31">
        <f>IF(ROUND(A31*10,3)='Input data'!$B$14*10,M31,0)</f>
        <v>0</v>
      </c>
      <c r="AD31">
        <f>IF(ROUND(A31*10,3)='Input data'!$B$14*10,N31,0)</f>
        <v>0</v>
      </c>
      <c r="AE31">
        <f>IF(ROUND(A31*10,3)='Input data'!$B$14*10,P31,0)</f>
        <v>0</v>
      </c>
      <c r="AF31">
        <f>IF('Input data'!$B$26="C",IF((3.14159265*1860/4)*((0.001*'Input data'!$B$20)-(2*'Input data'!$B$28*A31))^2*((0.33333*0.001*'Input data'!$B$20)-(2*'Input data'!$B$28*A31))&lt;0,(3.14159265*1860/4)*((0.001*'Input data'!$B$20)-(2*'Input data'!$B$28*A31))^2*((0.33333*0.001*'Input data'!$B$20)-(2*'Input data'!$B$28*A31)),(3.14159265*1860/4)*((0.001*'Input data'!$B$20)-(2*'Input data'!$B$28*A31))^2*((0.33333*0.001*'Input data'!$B$20)-(2*'Input data'!$B$28*A31))),'Input data'!$B$21)</f>
        <v>0.40680208090393727</v>
      </c>
      <c r="AG31">
        <f t="shared" si="6"/>
        <v>0</v>
      </c>
      <c r="AH31">
        <f t="shared" si="7"/>
        <v>0</v>
      </c>
      <c r="AI31">
        <f t="shared" si="8"/>
        <v>0</v>
      </c>
      <c r="AJ31">
        <f t="shared" si="9"/>
        <v>3000</v>
      </c>
      <c r="AK31">
        <f>IF('Input data'!$B$26="S",'Input data'!$B$22,3.1415*(('Input data'!$B$20*0.0005)-('Input data'!$B$28*A31))^2)</f>
        <v>7.8539816250000026E-3</v>
      </c>
    </row>
    <row r="32" spans="1:37" x14ac:dyDescent="0.2">
      <c r="A32">
        <f>A31+'Input data'!$B$24</f>
        <v>2.5000000000000009</v>
      </c>
      <c r="B32">
        <f>B31+(J31*'Input data'!$B$24)</f>
        <v>6.6732939960040785</v>
      </c>
      <c r="C32">
        <f>C31+(K31*'Input data'!$B$24)</f>
        <v>0</v>
      </c>
      <c r="D32">
        <f>D31+(L31*'Input data'!$B$24)</f>
        <v>29.759338389757282</v>
      </c>
      <c r="E32">
        <f>IF('Input data'!$B$13=2,'Input data'!$B$25*((0.1036*LN(ABS(P31+1)))+0.8731),IF('Input data'!$B$13=3,'Input data'!$B$25*((0.139*LN(ABS(P31+1)))+0.7503),'Input data'!$B$25))</f>
        <v>5.8038651699803676</v>
      </c>
      <c r="F32">
        <f>E32*COS(RADIANS('Input data'!$B$10))</f>
        <v>5.8038651699803676</v>
      </c>
      <c r="G32">
        <f>E32*SIN(RADIANS('Input data'!$B$10))</f>
        <v>0</v>
      </c>
      <c r="H32">
        <f>1.22*EXP(-0.0001065*(P31+'Input data'!$B$12))</f>
        <v>1.200658365778464</v>
      </c>
      <c r="I32">
        <f t="shared" si="1"/>
        <v>29.77203600494267</v>
      </c>
      <c r="J32">
        <f>-0.5*H32*I32*AK32*'Input data'!$B$19*(B32-F32)/AF32</f>
        <v>-0.1512552378526823</v>
      </c>
      <c r="K32">
        <f>-0.5*H32*I32*AK32*'Input data'!$B$19*(C32-G32)/AF32</f>
        <v>0</v>
      </c>
      <c r="L32">
        <f>(-0.5*H32*AK32*I32*'Input data'!$B$19*D32/AF32)-'Input data'!$B$23</f>
        <v>-14.98225623046968</v>
      </c>
      <c r="M32">
        <f>IF(AF32&gt;0,IF(P31&lt;=Param_1,M31,M31+(B33*'Input data'!$B$24)),M31)</f>
        <v>18.56414937108929</v>
      </c>
      <c r="N32">
        <f>IF(AF32&gt;0,IF(P31&lt;=Param_1,N31,N31+(C33*'Input data'!$B$24)),N31)</f>
        <v>0</v>
      </c>
      <c r="O32">
        <f t="shared" si="0"/>
        <v>0</v>
      </c>
      <c r="P32">
        <f>IF(P31&lt;=-100000,0,IF(AF32&gt;0,IF(P31&lt;Param_1,P31,P31+(D33*'Input data'!$B$24)),P31))</f>
        <v>152.8807051675152</v>
      </c>
      <c r="Q32">
        <f t="shared" si="2"/>
        <v>18.56414937108929</v>
      </c>
      <c r="T32">
        <f t="shared" si="3"/>
        <v>18.56414937108929</v>
      </c>
      <c r="U32">
        <f t="shared" si="4"/>
        <v>0</v>
      </c>
      <c r="V32" s="74">
        <f>IF(X32=0,'Input data'!$Q$22,Q32)</f>
        <v>18.56414937108929</v>
      </c>
      <c r="W32" s="74">
        <f>IF(U32=0,'Input data'!$Q$23,U32)</f>
        <v>0</v>
      </c>
      <c r="X32" s="74">
        <f t="shared" si="12"/>
        <v>152.8807051675152</v>
      </c>
      <c r="Y32">
        <f>IF(P31&lt;Param_1,Y31,A33*'Input data'!$B$25*SIN(RADIANS('Input data'!$B$10)))</f>
        <v>0</v>
      </c>
      <c r="Z32">
        <f>IF(P31&lt;Param_1,Z31,A33*'Input data'!$B$25*COS(RADIANS('Input data'!$B$10)))</f>
        <v>10.833333333333337</v>
      </c>
      <c r="AA32">
        <f t="shared" si="10"/>
        <v>2.600000000000001</v>
      </c>
      <c r="AB32">
        <f t="shared" si="11"/>
        <v>2.600000000000001</v>
      </c>
      <c r="AC32">
        <f>IF(ROUND(A32*10,3)='Input data'!$B$14*10,M32,0)</f>
        <v>0</v>
      </c>
      <c r="AD32">
        <f>IF(ROUND(A32*10,3)='Input data'!$B$14*10,N32,0)</f>
        <v>0</v>
      </c>
      <c r="AE32">
        <f>IF(ROUND(A32*10,3)='Input data'!$B$14*10,P32,0)</f>
        <v>0</v>
      </c>
      <c r="AF32">
        <f>IF('Input data'!$B$26="C",IF((3.14159265*1860/4)*((0.001*'Input data'!$B$20)-(2*'Input data'!$B$28*A32))^2*((0.33333*0.001*'Input data'!$B$20)-(2*'Input data'!$B$28*A32))&lt;0,(3.14159265*1860/4)*((0.001*'Input data'!$B$20)-(2*'Input data'!$B$28*A32))^2*((0.33333*0.001*'Input data'!$B$20)-(2*'Input data'!$B$28*A32)),(3.14159265*1860/4)*((0.001*'Input data'!$B$20)-(2*'Input data'!$B$28*A32))^2*((0.33333*0.001*'Input data'!$B$20)-(2*'Input data'!$B$28*A32))),'Input data'!$B$21)</f>
        <v>0.40680208090393727</v>
      </c>
      <c r="AG32">
        <f t="shared" si="6"/>
        <v>0</v>
      </c>
      <c r="AH32">
        <f t="shared" si="7"/>
        <v>0</v>
      </c>
      <c r="AI32">
        <f t="shared" si="8"/>
        <v>0</v>
      </c>
      <c r="AJ32">
        <f t="shared" si="9"/>
        <v>3000</v>
      </c>
      <c r="AK32">
        <f>IF('Input data'!$B$26="S",'Input data'!$B$22,3.1415*(('Input data'!$B$20*0.0005)-('Input data'!$B$28*A32))^2)</f>
        <v>7.8539816250000026E-3</v>
      </c>
    </row>
    <row r="33" spans="1:37" x14ac:dyDescent="0.2">
      <c r="A33">
        <f>A32+'Input data'!$B$24</f>
        <v>2.600000000000001</v>
      </c>
      <c r="B33">
        <f>B32+(J32*'Input data'!$B$24)</f>
        <v>6.6581684722188106</v>
      </c>
      <c r="C33">
        <f>C32+(K32*'Input data'!$B$24)</f>
        <v>0</v>
      </c>
      <c r="D33">
        <f>D32+(L32*'Input data'!$B$24)</f>
        <v>28.261112766710315</v>
      </c>
      <c r="E33">
        <f>IF('Input data'!$B$13=2,'Input data'!$B$25*((0.1036*LN(ABS(P32+1)))+0.8731),IF('Input data'!$B$13=3,'Input data'!$B$25*((0.139*LN(ABS(P32+1)))+0.7503),'Input data'!$B$25))</f>
        <v>5.811866690096096</v>
      </c>
      <c r="F33">
        <f>E33*COS(RADIANS('Input data'!$B$10))</f>
        <v>5.811866690096096</v>
      </c>
      <c r="G33">
        <f>E33*SIN(RADIANS('Input data'!$B$10))</f>
        <v>0</v>
      </c>
      <c r="H33">
        <f>1.22*EXP(-0.0001065*(P32+'Input data'!$B$12))</f>
        <v>1.2002970449798616</v>
      </c>
      <c r="I33">
        <f t="shared" si="1"/>
        <v>28.273781521387281</v>
      </c>
      <c r="J33">
        <f>-0.5*H33*I33*AK33*'Input data'!$B$19*(B33-F33)/AF33</f>
        <v>-0.13978040388597285</v>
      </c>
      <c r="K33">
        <f>-0.5*H33*I33*AK33*'Input data'!$B$19*(C33-G33)/AF33</f>
        <v>0</v>
      </c>
      <c r="L33">
        <f>(-0.5*H33*AK33*I33*'Input data'!$B$19*D33/AF33)-'Input data'!$B$23</f>
        <v>-14.472779083354201</v>
      </c>
      <c r="M33">
        <f>IF(AF33&gt;0,IF(P32&lt;=Param_1,M32,M32+(B34*'Input data'!$B$24)),M32)</f>
        <v>19.22856841427231</v>
      </c>
      <c r="N33">
        <f>IF(AF33&gt;0,IF(P32&lt;=Param_1,N32,N32+(C34*'Input data'!$B$24)),N32)</f>
        <v>0</v>
      </c>
      <c r="O33">
        <f t="shared" si="0"/>
        <v>0</v>
      </c>
      <c r="P33">
        <f>IF(P32&lt;=-100000,0,IF(AF33&gt;0,IF(P32&lt;Param_1,P32,P32+(D34*'Input data'!$B$24)),P32))</f>
        <v>155.5620886533527</v>
      </c>
      <c r="Q33">
        <f t="shared" si="2"/>
        <v>19.22856841427231</v>
      </c>
      <c r="T33">
        <f t="shared" si="3"/>
        <v>19.22856841427231</v>
      </c>
      <c r="U33">
        <f t="shared" si="4"/>
        <v>0</v>
      </c>
      <c r="V33" s="74">
        <f>IF(X33=0,'Input data'!$Q$22,Q33)</f>
        <v>19.22856841427231</v>
      </c>
      <c r="W33" s="74">
        <f>IF(U33=0,'Input data'!$Q$23,U33)</f>
        <v>0</v>
      </c>
      <c r="X33" s="74">
        <f t="shared" si="12"/>
        <v>155.5620886533527</v>
      </c>
      <c r="Y33">
        <f>IF(P32&lt;Param_1,Y32,A34*'Input data'!$B$25*SIN(RADIANS('Input data'!$B$10)))</f>
        <v>0</v>
      </c>
      <c r="Z33">
        <f>IF(P32&lt;Param_1,Z32,A34*'Input data'!$B$25*COS(RADIANS('Input data'!$B$10)))</f>
        <v>11.250000000000005</v>
      </c>
      <c r="AA33">
        <f t="shared" si="10"/>
        <v>2.7000000000000011</v>
      </c>
      <c r="AB33">
        <f t="shared" si="11"/>
        <v>2.7000000000000011</v>
      </c>
      <c r="AC33">
        <f>IF(ROUND(A33*10,3)='Input data'!$B$14*10,M33,0)</f>
        <v>0</v>
      </c>
      <c r="AD33">
        <f>IF(ROUND(A33*10,3)='Input data'!$B$14*10,N33,0)</f>
        <v>0</v>
      </c>
      <c r="AE33">
        <f>IF(ROUND(A33*10,3)='Input data'!$B$14*10,P33,0)</f>
        <v>0</v>
      </c>
      <c r="AF33">
        <f>IF('Input data'!$B$26="C",IF((3.14159265*1860/4)*((0.001*'Input data'!$B$20)-(2*'Input data'!$B$28*A33))^2*((0.33333*0.001*'Input data'!$B$20)-(2*'Input data'!$B$28*A33))&lt;0,(3.14159265*1860/4)*((0.001*'Input data'!$B$20)-(2*'Input data'!$B$28*A33))^2*((0.33333*0.001*'Input data'!$B$20)-(2*'Input data'!$B$28*A33)),(3.14159265*1860/4)*((0.001*'Input data'!$B$20)-(2*'Input data'!$B$28*A33))^2*((0.33333*0.001*'Input data'!$B$20)-(2*'Input data'!$B$28*A33))),'Input data'!$B$21)</f>
        <v>0.40680208090393727</v>
      </c>
      <c r="AG33">
        <f t="shared" si="6"/>
        <v>0</v>
      </c>
      <c r="AH33">
        <f t="shared" si="7"/>
        <v>0</v>
      </c>
      <c r="AI33">
        <f t="shared" si="8"/>
        <v>0</v>
      </c>
      <c r="AJ33">
        <f t="shared" si="9"/>
        <v>3000</v>
      </c>
      <c r="AK33">
        <f>IF('Input data'!$B$26="S",'Input data'!$B$22,3.1415*(('Input data'!$B$20*0.0005)-('Input data'!$B$28*A33))^2)</f>
        <v>7.8539816250000026E-3</v>
      </c>
    </row>
    <row r="34" spans="1:37" x14ac:dyDescent="0.2">
      <c r="A34">
        <f>A33+'Input data'!$B$24</f>
        <v>2.7000000000000011</v>
      </c>
      <c r="B34">
        <f>B33+(J33*'Input data'!$B$24)</f>
        <v>6.6441904318302134</v>
      </c>
      <c r="C34">
        <f>C33+(K33*'Input data'!$B$24)</f>
        <v>0</v>
      </c>
      <c r="D34">
        <f>D33+(L33*'Input data'!$B$24)</f>
        <v>26.813834858374896</v>
      </c>
      <c r="E34">
        <f>IF('Input data'!$B$13=2,'Input data'!$B$25*((0.1036*LN(ABS(P33+1)))+0.8731),IF('Input data'!$B$13=3,'Input data'!$B$25*((0.139*LN(ABS(P33+1)))+0.7503),'Input data'!$B$25))</f>
        <v>5.8193237332553105</v>
      </c>
      <c r="F34">
        <f>E34*COS(RADIANS('Input data'!$B$10))</f>
        <v>5.8193237332553105</v>
      </c>
      <c r="G34">
        <f>E34*SIN(RADIANS('Input data'!$B$10))</f>
        <v>0</v>
      </c>
      <c r="H34">
        <f>1.22*EXP(-0.0001065*(P33+'Input data'!$B$12))</f>
        <v>1.1999543282807037</v>
      </c>
      <c r="I34">
        <f t="shared" si="1"/>
        <v>26.826519432878698</v>
      </c>
      <c r="J34">
        <f>-0.5*H34*I34*AK34*'Input data'!$B$19*(B34-F34)/AF34</f>
        <v>-0.12922936716923078</v>
      </c>
      <c r="K34">
        <f>-0.5*H34*I34*AK34*'Input data'!$B$19*(C34-G34)/AF34</f>
        <v>0</v>
      </c>
      <c r="L34">
        <f>(-0.5*H34*AK34*I34*'Input data'!$B$19*D34/AF34)-'Input data'!$B$23</f>
        <v>-14.005842288959728</v>
      </c>
      <c r="M34">
        <f>IF(AF34&gt;0,IF(P33&lt;=Param_1,M33,M33+(B35*'Input data'!$B$24)),M33)</f>
        <v>19.891695163783638</v>
      </c>
      <c r="N34">
        <f>IF(AF34&gt;0,IF(P33&lt;=Param_1,N33,N33+(C35*'Input data'!$B$24)),N33)</f>
        <v>0</v>
      </c>
      <c r="O34">
        <f t="shared" si="0"/>
        <v>0</v>
      </c>
      <c r="P34">
        <f>IF(P33&lt;=-100000,0,IF(AF34&gt;0,IF(P33&lt;Param_1,P33,P33+(D35*'Input data'!$B$24)),P33))</f>
        <v>158.10341371630059</v>
      </c>
      <c r="Q34">
        <f t="shared" si="2"/>
        <v>19.891695163783638</v>
      </c>
      <c r="T34">
        <f t="shared" si="3"/>
        <v>19.891695163783638</v>
      </c>
      <c r="U34">
        <f t="shared" si="4"/>
        <v>0</v>
      </c>
      <c r="V34" s="74">
        <f>IF(X34=0,'Input data'!$Q$22,Q34)</f>
        <v>19.891695163783638</v>
      </c>
      <c r="W34" s="74">
        <f>IF(U34=0,'Input data'!$Q$23,U34)</f>
        <v>0</v>
      </c>
      <c r="X34" s="74">
        <f t="shared" si="12"/>
        <v>158.10341371630059</v>
      </c>
      <c r="Y34">
        <f>IF(P33&lt;Param_1,Y33,A35*'Input data'!$B$25*SIN(RADIANS('Input data'!$B$10)))</f>
        <v>0</v>
      </c>
      <c r="Z34">
        <f>IF(P33&lt;Param_1,Z33,A35*'Input data'!$B$25*COS(RADIANS('Input data'!$B$10)))</f>
        <v>11.666666666666673</v>
      </c>
      <c r="AA34">
        <f t="shared" si="10"/>
        <v>2.8000000000000012</v>
      </c>
      <c r="AB34">
        <f t="shared" si="11"/>
        <v>2.8000000000000012</v>
      </c>
      <c r="AC34">
        <f>IF(ROUND(A34*10,3)='Input data'!$B$14*10,M34,0)</f>
        <v>0</v>
      </c>
      <c r="AD34">
        <f>IF(ROUND(A34*10,3)='Input data'!$B$14*10,N34,0)</f>
        <v>0</v>
      </c>
      <c r="AE34">
        <f>IF(ROUND(A34*10,3)='Input data'!$B$14*10,P34,0)</f>
        <v>0</v>
      </c>
      <c r="AF34">
        <f>IF('Input data'!$B$26="C",IF((3.14159265*1860/4)*((0.001*'Input data'!$B$20)-(2*'Input data'!$B$28*A34))^2*((0.33333*0.001*'Input data'!$B$20)-(2*'Input data'!$B$28*A34))&lt;0,(3.14159265*1860/4)*((0.001*'Input data'!$B$20)-(2*'Input data'!$B$28*A34))^2*((0.33333*0.001*'Input data'!$B$20)-(2*'Input data'!$B$28*A34)),(3.14159265*1860/4)*((0.001*'Input data'!$B$20)-(2*'Input data'!$B$28*A34))^2*((0.33333*0.001*'Input data'!$B$20)-(2*'Input data'!$B$28*A34))),'Input data'!$B$21)</f>
        <v>0.40680208090393727</v>
      </c>
      <c r="AG34">
        <f t="shared" si="6"/>
        <v>0</v>
      </c>
      <c r="AH34">
        <f t="shared" si="7"/>
        <v>0</v>
      </c>
      <c r="AI34">
        <f t="shared" si="8"/>
        <v>0</v>
      </c>
      <c r="AJ34">
        <f t="shared" si="9"/>
        <v>3000</v>
      </c>
      <c r="AK34">
        <f>IF('Input data'!$B$26="S",'Input data'!$B$22,3.1415*(('Input data'!$B$20*0.0005)-('Input data'!$B$28*A34))^2)</f>
        <v>7.8539816250000026E-3</v>
      </c>
    </row>
    <row r="35" spans="1:37" x14ac:dyDescent="0.2">
      <c r="A35">
        <f>A34+'Input data'!$B$24</f>
        <v>2.8000000000000012</v>
      </c>
      <c r="B35">
        <f>B34+(J34*'Input data'!$B$24)</f>
        <v>6.6312674951132902</v>
      </c>
      <c r="C35">
        <f>C34+(K34*'Input data'!$B$24)</f>
        <v>0</v>
      </c>
      <c r="D35">
        <f>D34+(L34*'Input data'!$B$24)</f>
        <v>25.413250629478924</v>
      </c>
      <c r="E35">
        <f>IF('Input data'!$B$13=2,'Input data'!$B$25*((0.1036*LN(ABS(P34+1)))+0.8731),IF('Input data'!$B$13=3,'Input data'!$B$25*((0.139*LN(ABS(P34+1)))+0.7503),'Input data'!$B$25))</f>
        <v>5.8262743123449887</v>
      </c>
      <c r="F35">
        <f>E35*COS(RADIANS('Input data'!$B$10))</f>
        <v>5.8262743123449887</v>
      </c>
      <c r="G35">
        <f>E35*SIN(RADIANS('Input data'!$B$10))</f>
        <v>0</v>
      </c>
      <c r="H35">
        <f>1.22*EXP(-0.0001065*(P34+'Input data'!$B$12))</f>
        <v>1.1996296032443403</v>
      </c>
      <c r="I35">
        <f t="shared" si="1"/>
        <v>25.425996963364373</v>
      </c>
      <c r="J35">
        <f>-0.5*H35*I35*AK35*'Input data'!$B$19*(B35-F35)/AF35</f>
        <v>-0.11949941204280708</v>
      </c>
      <c r="K35">
        <f>-0.5*H35*I35*AK35*'Input data'!$B$19*(C35-G35)/AF35</f>
        <v>0</v>
      </c>
      <c r="L35">
        <f>(-0.5*H35*AK35*I35*'Input data'!$B$19*D35/AF35)-'Input data'!$B$23</f>
        <v>-13.577539411918623</v>
      </c>
      <c r="M35">
        <f>IF(AF35&gt;0,IF(P34&lt;=Param_1,M34,M34+(B36*'Input data'!$B$24)),M34)</f>
        <v>20.55362691917454</v>
      </c>
      <c r="N35">
        <f>IF(AF35&gt;0,IF(P34&lt;=Param_1,N34,N34+(C36*'Input data'!$B$24)),N34)</f>
        <v>0</v>
      </c>
      <c r="O35">
        <f t="shared" si="0"/>
        <v>0</v>
      </c>
      <c r="P35">
        <f>IF(P34&lt;=-100000,0,IF(AF35&gt;0,IF(P34&lt;Param_1,P34,P34+(D36*'Input data'!$B$24)),P34))</f>
        <v>160.50896338512931</v>
      </c>
      <c r="Q35">
        <f t="shared" si="2"/>
        <v>20.55362691917454</v>
      </c>
      <c r="T35">
        <f t="shared" si="3"/>
        <v>20.55362691917454</v>
      </c>
      <c r="U35">
        <f t="shared" si="4"/>
        <v>0</v>
      </c>
      <c r="V35" s="74">
        <f>IF(X35=0,'Input data'!$Q$22,Q35)</f>
        <v>20.55362691917454</v>
      </c>
      <c r="W35" s="74">
        <f>IF(U35=0,'Input data'!$Q$23,U35)</f>
        <v>0</v>
      </c>
      <c r="X35" s="74">
        <f t="shared" si="12"/>
        <v>160.50896338512931</v>
      </c>
      <c r="Y35">
        <f>IF(P34&lt;Param_1,Y34,A36*'Input data'!$B$25*SIN(RADIANS('Input data'!$B$10)))</f>
        <v>0</v>
      </c>
      <c r="Z35">
        <f>IF(P34&lt;Param_1,Z34,A36*'Input data'!$B$25*COS(RADIANS('Input data'!$B$10)))</f>
        <v>12.083333333333339</v>
      </c>
      <c r="AA35">
        <f t="shared" si="10"/>
        <v>2.9000000000000012</v>
      </c>
      <c r="AB35">
        <f t="shared" si="11"/>
        <v>2.9000000000000012</v>
      </c>
      <c r="AC35">
        <f>IF(ROUND(A35*10,3)='Input data'!$B$14*10,M35,0)</f>
        <v>0</v>
      </c>
      <c r="AD35">
        <f>IF(ROUND(A35*10,3)='Input data'!$B$14*10,N35,0)</f>
        <v>0</v>
      </c>
      <c r="AE35">
        <f>IF(ROUND(A35*10,3)='Input data'!$B$14*10,P35,0)</f>
        <v>0</v>
      </c>
      <c r="AF35">
        <f>IF('Input data'!$B$26="C",IF((3.14159265*1860/4)*((0.001*'Input data'!$B$20)-(2*'Input data'!$B$28*A35))^2*((0.33333*0.001*'Input data'!$B$20)-(2*'Input data'!$B$28*A35))&lt;0,(3.14159265*1860/4)*((0.001*'Input data'!$B$20)-(2*'Input data'!$B$28*A35))^2*((0.33333*0.001*'Input data'!$B$20)-(2*'Input data'!$B$28*A35)),(3.14159265*1860/4)*((0.001*'Input data'!$B$20)-(2*'Input data'!$B$28*A35))^2*((0.33333*0.001*'Input data'!$B$20)-(2*'Input data'!$B$28*A35))),'Input data'!$B$21)</f>
        <v>0.40680208090393727</v>
      </c>
      <c r="AG35">
        <f t="shared" si="6"/>
        <v>0</v>
      </c>
      <c r="AH35">
        <f t="shared" si="7"/>
        <v>0</v>
      </c>
      <c r="AI35">
        <f t="shared" si="8"/>
        <v>0</v>
      </c>
      <c r="AJ35">
        <f t="shared" si="9"/>
        <v>3000</v>
      </c>
      <c r="AK35">
        <f>IF('Input data'!$B$26="S",'Input data'!$B$22,3.1415*(('Input data'!$B$20*0.0005)-('Input data'!$B$28*A35))^2)</f>
        <v>7.8539816250000026E-3</v>
      </c>
    </row>
    <row r="36" spans="1:37" x14ac:dyDescent="0.2">
      <c r="A36">
        <f>A35+'Input data'!$B$24</f>
        <v>2.9000000000000012</v>
      </c>
      <c r="B36">
        <f>B35+(J35*'Input data'!$B$24)</f>
        <v>6.6193175539090099</v>
      </c>
      <c r="C36">
        <f>C35+(K35*'Input data'!$B$24)</f>
        <v>0</v>
      </c>
      <c r="D36">
        <f>D35+(L35*'Input data'!$B$24)</f>
        <v>24.055496688287061</v>
      </c>
      <c r="E36">
        <f>IF('Input data'!$B$13=2,'Input data'!$B$25*((0.1036*LN(ABS(P35+1)))+0.8731),IF('Input data'!$B$13=3,'Input data'!$B$25*((0.139*LN(ABS(P35+1)))+0.7503),'Input data'!$B$25))</f>
        <v>5.8327520104457689</v>
      </c>
      <c r="F36">
        <f>E36*COS(RADIANS('Input data'!$B$10))</f>
        <v>5.8327520104457689</v>
      </c>
      <c r="G36">
        <f>E36*SIN(RADIANS('Input data'!$B$10))</f>
        <v>0</v>
      </c>
      <c r="H36">
        <f>1.22*EXP(-0.0001065*(P35+'Input data'!$B$12))</f>
        <v>1.1993223082537863</v>
      </c>
      <c r="I36">
        <f t="shared" si="1"/>
        <v>24.068352795202944</v>
      </c>
      <c r="J36">
        <f>-0.5*H36*I36*AK36*'Input data'!$B$19*(B36-F36)/AF36</f>
        <v>-0.1105008450532307</v>
      </c>
      <c r="K36">
        <f>-0.5*H36*I36*AK36*'Input data'!$B$19*(C36-G36)/AF36</f>
        <v>0</v>
      </c>
      <c r="L36">
        <f>(-0.5*H36*AK36*I36*'Input data'!$B$19*D36/AF36)-'Input data'!$B$23</f>
        <v>-13.184442100307484</v>
      </c>
      <c r="M36">
        <f>IF(AF36&gt;0,IF(P35&lt;=Param_1,M35,M35+(B37*'Input data'!$B$24)),M35)</f>
        <v>21.21445366611491</v>
      </c>
      <c r="N36">
        <f>IF(AF36&gt;0,IF(P35&lt;=Param_1,N35,N35+(C37*'Input data'!$B$24)),N35)</f>
        <v>0</v>
      </c>
      <c r="O36">
        <f t="shared" si="0"/>
        <v>0</v>
      </c>
      <c r="P36">
        <f>IF(P35&lt;=-100000,0,IF(AF36&gt;0,IF(P35&lt;Param_1,P35,P35+(D37*'Input data'!$B$24)),P35))</f>
        <v>162.78266863295494</v>
      </c>
      <c r="Q36">
        <f t="shared" si="2"/>
        <v>21.21445366611491</v>
      </c>
      <c r="T36">
        <f t="shared" si="3"/>
        <v>21.21445366611491</v>
      </c>
      <c r="U36">
        <f t="shared" si="4"/>
        <v>0</v>
      </c>
      <c r="V36" s="74">
        <f>IF(X36=0,'Input data'!$Q$22,Q36)</f>
        <v>21.21445366611491</v>
      </c>
      <c r="W36" s="74">
        <f>IF(U36=0,'Input data'!$Q$23,U36)</f>
        <v>0</v>
      </c>
      <c r="X36" s="74">
        <f t="shared" si="12"/>
        <v>162.78266863295494</v>
      </c>
      <c r="Y36">
        <f>IF(P35&lt;Param_1,Y35,A37*'Input data'!$B$25*SIN(RADIANS('Input data'!$B$10)))</f>
        <v>0</v>
      </c>
      <c r="Z36">
        <f>IF(P35&lt;Param_1,Z35,A37*'Input data'!$B$25*COS(RADIANS('Input data'!$B$10)))</f>
        <v>12.500000000000007</v>
      </c>
      <c r="AA36">
        <f t="shared" si="10"/>
        <v>3.0000000000000013</v>
      </c>
      <c r="AB36">
        <f t="shared" si="11"/>
        <v>3.0000000000000013</v>
      </c>
      <c r="AC36">
        <f>IF(ROUND(A36*10,3)='Input data'!$B$14*10,M36,0)</f>
        <v>0</v>
      </c>
      <c r="AD36">
        <f>IF(ROUND(A36*10,3)='Input data'!$B$14*10,N36,0)</f>
        <v>0</v>
      </c>
      <c r="AE36">
        <f>IF(ROUND(A36*10,3)='Input data'!$B$14*10,P36,0)</f>
        <v>0</v>
      </c>
      <c r="AF36">
        <f>IF('Input data'!$B$26="C",IF((3.14159265*1860/4)*((0.001*'Input data'!$B$20)-(2*'Input data'!$B$28*A36))^2*((0.33333*0.001*'Input data'!$B$20)-(2*'Input data'!$B$28*A36))&lt;0,(3.14159265*1860/4)*((0.001*'Input data'!$B$20)-(2*'Input data'!$B$28*A36))^2*((0.33333*0.001*'Input data'!$B$20)-(2*'Input data'!$B$28*A36)),(3.14159265*1860/4)*((0.001*'Input data'!$B$20)-(2*'Input data'!$B$28*A36))^2*((0.33333*0.001*'Input data'!$B$20)-(2*'Input data'!$B$28*A36))),'Input data'!$B$21)</f>
        <v>0.40680208090393727</v>
      </c>
      <c r="AG36">
        <f t="shared" si="6"/>
        <v>0</v>
      </c>
      <c r="AH36">
        <f t="shared" si="7"/>
        <v>0</v>
      </c>
      <c r="AI36">
        <f t="shared" si="8"/>
        <v>0</v>
      </c>
      <c r="AJ36">
        <f t="shared" si="9"/>
        <v>3000</v>
      </c>
      <c r="AK36">
        <f>IF('Input data'!$B$26="S",'Input data'!$B$22,3.1415*(('Input data'!$B$20*0.0005)-('Input data'!$B$28*A36))^2)</f>
        <v>7.8539816250000026E-3</v>
      </c>
    </row>
    <row r="37" spans="1:37" x14ac:dyDescent="0.2">
      <c r="A37">
        <f>A36+'Input data'!$B$24</f>
        <v>3.0000000000000013</v>
      </c>
      <c r="B37">
        <f>B36+(J36*'Input data'!$B$24)</f>
        <v>6.6082674694036871</v>
      </c>
      <c r="C37">
        <f>C36+(K36*'Input data'!$B$24)</f>
        <v>0</v>
      </c>
      <c r="D37">
        <f>D36+(L36*'Input data'!$B$24)</f>
        <v>22.737052478256313</v>
      </c>
      <c r="E37">
        <f>IF('Input data'!$B$13=2,'Input data'!$B$25*((0.1036*LN(ABS(P36+1)))+0.8731),IF('Input data'!$B$13=3,'Input data'!$B$25*((0.139*LN(ABS(P36+1)))+0.7503),'Input data'!$B$25))</f>
        <v>5.8387865877488219</v>
      </c>
      <c r="F37">
        <f>E37*COS(RADIANS('Input data'!$B$10))</f>
        <v>5.8387865877488219</v>
      </c>
      <c r="G37">
        <f>E37*SIN(RADIANS('Input data'!$B$10))</f>
        <v>0</v>
      </c>
      <c r="H37">
        <f>1.22*EXP(-0.0001065*(P36+'Input data'!$B$12))</f>
        <v>1.1990319279850588</v>
      </c>
      <c r="I37">
        <f t="shared" si="1"/>
        <v>22.750069367503343</v>
      </c>
      <c r="J37">
        <f>-0.5*H37*I37*AK37*'Input data'!$B$19*(B37-F37)/AF37</f>
        <v>-0.10215501872873697</v>
      </c>
      <c r="K37">
        <f>-0.5*H37*I37*AK37*'Input data'!$B$19*(C37-G37)/AF37</f>
        <v>0</v>
      </c>
      <c r="L37">
        <f>(-0.5*H37*AK37*I37*'Input data'!$B$19*D37/AF37)-'Input data'!$B$23</f>
        <v>-12.823533763642422</v>
      </c>
      <c r="M37">
        <f>IF(AF37&gt;0,IF(P36&lt;=Param_1,M36,M36+(B38*'Input data'!$B$24)),M36)</f>
        <v>21.87425886286799</v>
      </c>
      <c r="N37">
        <f>IF(AF37&gt;0,IF(P36&lt;=Param_1,N36,N36+(C38*'Input data'!$B$24)),N36)</f>
        <v>0</v>
      </c>
      <c r="O37">
        <f t="shared" si="0"/>
        <v>0</v>
      </c>
      <c r="P37">
        <f>IF(P36&lt;=-100000,0,IF(AF37&gt;0,IF(P36&lt;Param_1,P36,P36+(D38*'Input data'!$B$24)),P36))</f>
        <v>164.92813854314414</v>
      </c>
      <c r="Q37">
        <f t="shared" si="2"/>
        <v>21.87425886286799</v>
      </c>
      <c r="T37">
        <f t="shared" si="3"/>
        <v>21.87425886286799</v>
      </c>
      <c r="U37">
        <f t="shared" si="4"/>
        <v>0</v>
      </c>
      <c r="V37" s="74">
        <f>IF(X37=0,'Input data'!$Q$22,Q37)</f>
        <v>21.87425886286799</v>
      </c>
      <c r="W37" s="74">
        <f>IF(U37=0,'Input data'!$Q$23,U37)</f>
        <v>0</v>
      </c>
      <c r="X37" s="74">
        <f t="shared" si="12"/>
        <v>164.92813854314414</v>
      </c>
      <c r="Y37">
        <f>IF(P36&lt;Param_1,Y36,A38*'Input data'!$B$25*SIN(RADIANS('Input data'!$B$10)))</f>
        <v>0</v>
      </c>
      <c r="Z37">
        <f>IF(P36&lt;Param_1,Z36,A38*'Input data'!$B$25*COS(RADIANS('Input data'!$B$10)))</f>
        <v>12.916666666666673</v>
      </c>
      <c r="AA37">
        <f t="shared" si="10"/>
        <v>3.1000000000000014</v>
      </c>
      <c r="AB37">
        <f t="shared" si="11"/>
        <v>3.1000000000000014</v>
      </c>
      <c r="AC37">
        <f>IF(ROUND(A37*10,3)='Input data'!$B$14*10,M37,0)</f>
        <v>0</v>
      </c>
      <c r="AD37">
        <f>IF(ROUND(A37*10,3)='Input data'!$B$14*10,N37,0)</f>
        <v>0</v>
      </c>
      <c r="AE37">
        <f>IF(ROUND(A37*10,3)='Input data'!$B$14*10,P37,0)</f>
        <v>0</v>
      </c>
      <c r="AF37">
        <f>IF('Input data'!$B$26="C",IF((3.14159265*1860/4)*((0.001*'Input data'!$B$20)-(2*'Input data'!$B$28*A37))^2*((0.33333*0.001*'Input data'!$B$20)-(2*'Input data'!$B$28*A37))&lt;0,(3.14159265*1860/4)*((0.001*'Input data'!$B$20)-(2*'Input data'!$B$28*A37))^2*((0.33333*0.001*'Input data'!$B$20)-(2*'Input data'!$B$28*A37)),(3.14159265*1860/4)*((0.001*'Input data'!$B$20)-(2*'Input data'!$B$28*A37))^2*((0.33333*0.001*'Input data'!$B$20)-(2*'Input data'!$B$28*A37))),'Input data'!$B$21)</f>
        <v>0.40680208090393727</v>
      </c>
      <c r="AG37">
        <f t="shared" si="6"/>
        <v>0</v>
      </c>
      <c r="AH37">
        <f t="shared" si="7"/>
        <v>0</v>
      </c>
      <c r="AI37">
        <f t="shared" si="8"/>
        <v>0</v>
      </c>
      <c r="AJ37">
        <f t="shared" si="9"/>
        <v>3000</v>
      </c>
      <c r="AK37">
        <f>IF('Input data'!$B$26="S",'Input data'!$B$22,3.1415*(('Input data'!$B$20*0.0005)-('Input data'!$B$28*A37))^2)</f>
        <v>7.8539816250000026E-3</v>
      </c>
    </row>
    <row r="38" spans="1:37" x14ac:dyDescent="0.2">
      <c r="A38">
        <f>A37+'Input data'!$B$24</f>
        <v>3.1000000000000014</v>
      </c>
      <c r="B38">
        <f>B37+(J37*'Input data'!$B$24)</f>
        <v>6.5980519675308136</v>
      </c>
      <c r="C38">
        <f>C37+(K37*'Input data'!$B$24)</f>
        <v>0</v>
      </c>
      <c r="D38">
        <f>D37+(L37*'Input data'!$B$24)</f>
        <v>21.454699101892071</v>
      </c>
      <c r="E38">
        <f>IF('Input data'!$B$13=2,'Input data'!$B$25*((0.1036*LN(ABS(P37+1)))+0.8731),IF('Input data'!$B$13=3,'Input data'!$B$25*((0.139*LN(ABS(P37+1)))+0.7503),'Input data'!$B$25))</f>
        <v>5.8444044861999656</v>
      </c>
      <c r="F38">
        <f>E38*COS(RADIANS('Input data'!$B$10))</f>
        <v>5.8444044861999656</v>
      </c>
      <c r="G38">
        <f>E38*SIN(RADIANS('Input data'!$B$10))</f>
        <v>0</v>
      </c>
      <c r="H38">
        <f>1.22*EXP(-0.0001065*(P37+'Input data'!$B$12))</f>
        <v>1.1987579894254266</v>
      </c>
      <c r="I38">
        <f t="shared" si="1"/>
        <v>21.467931853787054</v>
      </c>
      <c r="J38">
        <f>-0.5*H38*I38*AK38*'Input data'!$B$19*(B38-F38)/AF38</f>
        <v>-9.4392692805627218E-2</v>
      </c>
      <c r="K38">
        <f>-0.5*H38*I38*AK38*'Input data'!$B$19*(C38-G38)/AF38</f>
        <v>0</v>
      </c>
      <c r="L38">
        <f>(-0.5*H38*AK38*I38*'Input data'!$B$19*D38/AF38)-'Input data'!$B$23</f>
        <v>-12.492153970163704</v>
      </c>
      <c r="M38">
        <f>IF(AF38&gt;0,IF(P37&lt;=Param_1,M37,M37+(B39*'Input data'!$B$24)),M37)</f>
        <v>22.533120132693014</v>
      </c>
      <c r="N38">
        <f>IF(AF38&gt;0,IF(P37&lt;=Param_1,N37,N37+(C39*'Input data'!$B$24)),N37)</f>
        <v>0</v>
      </c>
      <c r="O38">
        <f t="shared" si="0"/>
        <v>0</v>
      </c>
      <c r="P38">
        <f>IF(P37&lt;=-100000,0,IF(AF38&gt;0,IF(P37&lt;Param_1,P37,P37+(D39*'Input data'!$B$24)),P37))</f>
        <v>166.94868691363172</v>
      </c>
      <c r="Q38">
        <f t="shared" si="2"/>
        <v>22.533120132693014</v>
      </c>
      <c r="T38">
        <f t="shared" si="3"/>
        <v>22.533120132693014</v>
      </c>
      <c r="U38">
        <f t="shared" si="4"/>
        <v>0</v>
      </c>
      <c r="V38" s="74">
        <f>IF(X38=0,'Input data'!$Q$22,Q38)</f>
        <v>22.533120132693014</v>
      </c>
      <c r="W38" s="74">
        <f>IF(U38=0,'Input data'!$Q$23,U38)</f>
        <v>0</v>
      </c>
      <c r="X38" s="74">
        <f t="shared" si="12"/>
        <v>166.94868691363172</v>
      </c>
      <c r="Y38">
        <f>IF(P37&lt;Param_1,Y37,A39*'Input data'!$B$25*SIN(RADIANS('Input data'!$B$10)))</f>
        <v>0</v>
      </c>
      <c r="Z38">
        <f>IF(P37&lt;Param_1,Z37,A39*'Input data'!$B$25*COS(RADIANS('Input data'!$B$10)))</f>
        <v>13.333333333333341</v>
      </c>
      <c r="AA38">
        <f t="shared" si="10"/>
        <v>3.2000000000000015</v>
      </c>
      <c r="AB38">
        <f t="shared" si="11"/>
        <v>3.2000000000000015</v>
      </c>
      <c r="AC38">
        <f>IF(ROUND(A38*10,3)='Input data'!$B$14*10,M38,0)</f>
        <v>0</v>
      </c>
      <c r="AD38">
        <f>IF(ROUND(A38*10,3)='Input data'!$B$14*10,N38,0)</f>
        <v>0</v>
      </c>
      <c r="AE38">
        <f>IF(ROUND(A38*10,3)='Input data'!$B$14*10,P38,0)</f>
        <v>0</v>
      </c>
      <c r="AF38">
        <f>IF('Input data'!$B$26="C",IF((3.14159265*1860/4)*((0.001*'Input data'!$B$20)-(2*'Input data'!$B$28*A38))^2*((0.33333*0.001*'Input data'!$B$20)-(2*'Input data'!$B$28*A38))&lt;0,(3.14159265*1860/4)*((0.001*'Input data'!$B$20)-(2*'Input data'!$B$28*A38))^2*((0.33333*0.001*'Input data'!$B$20)-(2*'Input data'!$B$28*A38)),(3.14159265*1860/4)*((0.001*'Input data'!$B$20)-(2*'Input data'!$B$28*A38))^2*((0.33333*0.001*'Input data'!$B$20)-(2*'Input data'!$B$28*A38))),'Input data'!$B$21)</f>
        <v>0.40680208090393727</v>
      </c>
      <c r="AG38">
        <f t="shared" si="6"/>
        <v>0</v>
      </c>
      <c r="AH38">
        <f t="shared" si="7"/>
        <v>0</v>
      </c>
      <c r="AI38">
        <f t="shared" si="8"/>
        <v>0</v>
      </c>
      <c r="AJ38">
        <f t="shared" si="9"/>
        <v>3000</v>
      </c>
      <c r="AK38">
        <f>IF('Input data'!$B$26="S",'Input data'!$B$22,3.1415*(('Input data'!$B$20*0.0005)-('Input data'!$B$28*A38))^2)</f>
        <v>7.8539816250000026E-3</v>
      </c>
    </row>
    <row r="39" spans="1:37" x14ac:dyDescent="0.2">
      <c r="A39" s="9">
        <f>A38+'Input data'!$B$24</f>
        <v>3.2000000000000015</v>
      </c>
      <c r="B39">
        <f>B38+(J38*'Input data'!$B$24)</f>
        <v>6.5886126982502509</v>
      </c>
      <c r="C39">
        <f>C38+(K38*'Input data'!$B$24)</f>
        <v>0</v>
      </c>
      <c r="D39">
        <f>D38+(L38*'Input data'!$B$24)</f>
        <v>20.2054837048757</v>
      </c>
      <c r="E39">
        <f>IF('Input data'!$B$13=2,'Input data'!$B$25*((0.1036*LN(ABS(P38+1)))+0.8731),IF('Input data'!$B$13=3,'Input data'!$B$25*((0.139*LN(ABS(P38+1)))+0.7503),'Input data'!$B$25))</f>
        <v>5.8496292515117299</v>
      </c>
      <c r="F39">
        <f>E39*COS(RADIANS('Input data'!$B$10))</f>
        <v>5.8496292515117299</v>
      </c>
      <c r="G39">
        <f>E39*SIN(RADIANS('Input data'!$B$10))</f>
        <v>0</v>
      </c>
      <c r="H39">
        <f>1.22*EXP(-0.0001065*(P38+'Input data'!$B$12))</f>
        <v>1.1985000583628302</v>
      </c>
      <c r="I39">
        <f t="shared" si="1"/>
        <v>20.218992761325946</v>
      </c>
      <c r="J39">
        <f>-0.5*H39*I39*AK39*'Input data'!$B$19*(B39-F39)/AF39</f>
        <v>-8.7152668165249456E-2</v>
      </c>
      <c r="K39">
        <f>-0.5*H39*I39*AK39*'Input data'!$B$19*(C39-G39)/AF39</f>
        <v>0</v>
      </c>
      <c r="L39">
        <f>(-0.5*H39*AK39*I39*'Input data'!$B$19*D39/AF39)-'Input data'!$B$23</f>
        <v>-12.187951640150173</v>
      </c>
      <c r="M39">
        <f>IF(AF39&gt;0,IF(P38&lt;=Param_1,M38,M38+(B40*'Input data'!$B$24)),M38)</f>
        <v>23.191109875836386</v>
      </c>
      <c r="N39">
        <f>IF(AF39&gt;0,IF(P38&lt;=Param_1,N38,N38+(C40*'Input data'!$B$24)),N38)</f>
        <v>0</v>
      </c>
      <c r="O39">
        <f t="shared" si="0"/>
        <v>0</v>
      </c>
      <c r="P39">
        <f>IF(P38&lt;=-100000,0,IF(AF39&gt;0,IF(P38&lt;Param_1,P38,P38+(D40*'Input data'!$B$24)),P38))</f>
        <v>168.84735576771777</v>
      </c>
      <c r="Q39">
        <f t="shared" si="2"/>
        <v>23.191109875836386</v>
      </c>
      <c r="T39">
        <f t="shared" si="3"/>
        <v>23.191109875836386</v>
      </c>
      <c r="U39">
        <f t="shared" si="4"/>
        <v>0</v>
      </c>
      <c r="V39" s="74">
        <f>IF(X39=0,'Input data'!$Q$22,Q39)</f>
        <v>23.191109875836386</v>
      </c>
      <c r="W39" s="74">
        <f>IF(U39=0,'Input data'!$Q$23,U39)</f>
        <v>0</v>
      </c>
      <c r="X39" s="74">
        <f t="shared" si="12"/>
        <v>168.84735576771777</v>
      </c>
      <c r="Y39">
        <f>IF(P38&lt;Param_1,Y38,A40*'Input data'!$B$25*SIN(RADIANS('Input data'!$B$10)))</f>
        <v>0</v>
      </c>
      <c r="Z39">
        <f>IF(P38&lt;Param_1,Z38,A40*'Input data'!$B$25*COS(RADIANS('Input data'!$B$10)))</f>
        <v>13.750000000000007</v>
      </c>
      <c r="AA39">
        <f t="shared" si="10"/>
        <v>3.3000000000000016</v>
      </c>
      <c r="AB39">
        <f t="shared" si="11"/>
        <v>3.3000000000000016</v>
      </c>
      <c r="AC39">
        <f>IF(ROUND(A39*10,3)='Input data'!$B$14*10,M39,0)</f>
        <v>0</v>
      </c>
      <c r="AD39">
        <f>IF(ROUND(A39*10,3)='Input data'!$B$14*10,N39,0)</f>
        <v>0</v>
      </c>
      <c r="AE39">
        <f>IF(ROUND(A39*10,3)='Input data'!$B$14*10,P39,0)</f>
        <v>0</v>
      </c>
      <c r="AF39">
        <f>IF('Input data'!$B$26="C",IF((3.14159265*1860/4)*((0.001*'Input data'!$B$20)-(2*'Input data'!$B$28*A39))^2*((0.33333*0.001*'Input data'!$B$20)-(2*'Input data'!$B$28*A39))&lt;0,(3.14159265*1860/4)*((0.001*'Input data'!$B$20)-(2*'Input data'!$B$28*A39))^2*((0.33333*0.001*'Input data'!$B$20)-(2*'Input data'!$B$28*A39)),(3.14159265*1860/4)*((0.001*'Input data'!$B$20)-(2*'Input data'!$B$28*A39))^2*((0.33333*0.001*'Input data'!$B$20)-(2*'Input data'!$B$28*A39))),'Input data'!$B$21)</f>
        <v>0.40680208090393727</v>
      </c>
      <c r="AG39">
        <f t="shared" si="6"/>
        <v>0</v>
      </c>
      <c r="AH39">
        <f t="shared" si="7"/>
        <v>0</v>
      </c>
      <c r="AI39">
        <f t="shared" ref="AI39:AI65" si="13">IF(AF39&lt;=0,P39,0)</f>
        <v>0</v>
      </c>
      <c r="AJ39">
        <f t="shared" si="9"/>
        <v>3000</v>
      </c>
      <c r="AK39">
        <f>IF('Input data'!$B$26="S",'Input data'!$B$22,3.1415*(('Input data'!$B$20*0.0005)-('Input data'!$B$28*A39))^2)</f>
        <v>7.8539816250000026E-3</v>
      </c>
    </row>
    <row r="40" spans="1:37" x14ac:dyDescent="0.2">
      <c r="A40" s="9">
        <f>A39+'Input data'!$B$24</f>
        <v>3.3000000000000016</v>
      </c>
      <c r="B40">
        <f>B39+(J39*'Input data'!$B$24)</f>
        <v>6.579897431433726</v>
      </c>
      <c r="C40">
        <f>C39+(K39*'Input data'!$B$24)</f>
        <v>0</v>
      </c>
      <c r="D40">
        <f>D39+(L39*'Input data'!$B$24)</f>
        <v>18.986688540860683</v>
      </c>
      <c r="E40">
        <f>IF('Input data'!$B$13=2,'Input data'!$B$25*((0.1036*LN(ABS(P39+1)))+0.8731),IF('Input data'!$B$13=3,'Input data'!$B$25*((0.139*LN(ABS(P39+1)))+0.7503),'Input data'!$B$25))</f>
        <v>5.8544818879138534</v>
      </c>
      <c r="F40">
        <f>E40*COS(RADIANS('Input data'!$B$10))</f>
        <v>5.8544818879138534</v>
      </c>
      <c r="G40">
        <f>E40*SIN(RADIANS('Input data'!$B$10))</f>
        <v>0</v>
      </c>
      <c r="H40">
        <f>1.22*EXP(-0.0001065*(P39+'Input data'!$B$12))</f>
        <v>1.1982577362844113</v>
      </c>
      <c r="I40">
        <f t="shared" si="1"/>
        <v>19.000541293827148</v>
      </c>
      <c r="J40">
        <f>-0.5*H40*I40*AK40*'Input data'!$B$19*(B40-F40)/AF40</f>
        <v>-8.0380642443005704E-2</v>
      </c>
      <c r="K40">
        <f>-0.5*H40*I40*AK40*'Input data'!$B$19*(C40-G40)/AF40</f>
        <v>0</v>
      </c>
      <c r="L40">
        <f>(-0.5*H40*AK40*I40*'Input data'!$B$19*D40/AF40)-'Input data'!$B$23</f>
        <v>-11.908845494369155</v>
      </c>
      <c r="M40">
        <f>IF(AF40&gt;0,IF(P39&lt;=Param_1,M39,M39+(B41*'Input data'!$B$24)),M39)</f>
        <v>23.848295812555328</v>
      </c>
      <c r="N40">
        <f>IF(AF40&gt;0,IF(P39&lt;=Param_1,N39,N39+(C41*'Input data'!$B$24)),N39)</f>
        <v>0</v>
      </c>
      <c r="O40">
        <f t="shared" si="0"/>
        <v>0</v>
      </c>
      <c r="P40">
        <f>IF(P39&lt;=-100000,0,IF(AF40&gt;0,IF(P39&lt;Param_1,P39,P39+(D41*'Input data'!$B$24)),P39))</f>
        <v>170.62693616686016</v>
      </c>
      <c r="Q40">
        <f t="shared" si="2"/>
        <v>23.848295812555328</v>
      </c>
      <c r="T40">
        <f t="shared" si="3"/>
        <v>23.848295812555328</v>
      </c>
      <c r="U40">
        <f t="shared" si="4"/>
        <v>0</v>
      </c>
      <c r="V40" s="74">
        <f>IF(X40=0,'Input data'!$Q$22,Q40)</f>
        <v>23.848295812555328</v>
      </c>
      <c r="W40" s="74">
        <f>IF(U40=0,'Input data'!$Q$23,U40)</f>
        <v>0</v>
      </c>
      <c r="X40" s="74">
        <f t="shared" si="12"/>
        <v>170.62693616686016</v>
      </c>
      <c r="Y40">
        <f>IF(P39&lt;Param_1,Y39,A41*'Input data'!$B$25*SIN(RADIANS('Input data'!$B$10)))</f>
        <v>0</v>
      </c>
      <c r="Z40">
        <f>IF(P39&lt;Param_1,Z39,A41*'Input data'!$B$25*COS(RADIANS('Input data'!$B$10)))</f>
        <v>14.166666666666675</v>
      </c>
      <c r="AA40">
        <f t="shared" si="10"/>
        <v>3.4000000000000017</v>
      </c>
      <c r="AB40">
        <f t="shared" si="11"/>
        <v>3.4000000000000017</v>
      </c>
      <c r="AC40">
        <f>IF(ROUND(A40*10,3)='Input data'!$B$14*10,M40,0)</f>
        <v>0</v>
      </c>
      <c r="AD40">
        <f>IF(ROUND(A40*10,3)='Input data'!$B$14*10,N40,0)</f>
        <v>0</v>
      </c>
      <c r="AE40">
        <f>IF(ROUND(A40*10,3)='Input data'!$B$14*10,P40,0)</f>
        <v>0</v>
      </c>
      <c r="AF40">
        <f>IF('Input data'!$B$26="C",IF((3.14159265*1860/4)*((0.001*'Input data'!$B$20)-(2*'Input data'!$B$28*A40))^2*((0.33333*0.001*'Input data'!$B$20)-(2*'Input data'!$B$28*A40))&lt;0,(3.14159265*1860/4)*((0.001*'Input data'!$B$20)-(2*'Input data'!$B$28*A40))^2*((0.33333*0.001*'Input data'!$B$20)-(2*'Input data'!$B$28*A40)),(3.14159265*1860/4)*((0.001*'Input data'!$B$20)-(2*'Input data'!$B$28*A40))^2*((0.33333*0.001*'Input data'!$B$20)-(2*'Input data'!$B$28*A40))),'Input data'!$B$21)</f>
        <v>0.40680208090393727</v>
      </c>
      <c r="AG40">
        <f t="shared" si="6"/>
        <v>0</v>
      </c>
      <c r="AH40">
        <f t="shared" si="7"/>
        <v>0</v>
      </c>
      <c r="AI40">
        <f t="shared" si="13"/>
        <v>0</v>
      </c>
      <c r="AJ40">
        <f t="shared" si="9"/>
        <v>3000</v>
      </c>
      <c r="AK40">
        <f>IF('Input data'!$B$26="S",'Input data'!$B$22,3.1415*(('Input data'!$B$20*0.0005)-('Input data'!$B$28*A40))^2)</f>
        <v>7.8539816250000026E-3</v>
      </c>
    </row>
    <row r="41" spans="1:37" x14ac:dyDescent="0.2">
      <c r="A41" s="9">
        <f>A40+'Input data'!$B$24</f>
        <v>3.4000000000000017</v>
      </c>
      <c r="B41">
        <f>B40+(J40*'Input data'!$B$24)</f>
        <v>6.5718593671894254</v>
      </c>
      <c r="C41">
        <f>C40+(K40*'Input data'!$B$24)</f>
        <v>0</v>
      </c>
      <c r="D41">
        <f>D40+(L40*'Input data'!$B$24)</f>
        <v>17.795803991423767</v>
      </c>
      <c r="E41">
        <f>IF('Input data'!$B$13=2,'Input data'!$B$25*((0.1036*LN(ABS(P40+1)))+0.8731),IF('Input data'!$B$13=3,'Input data'!$B$25*((0.139*LN(ABS(P40+1)))+0.7503),'Input data'!$B$25))</f>
        <v>5.8589811577663209</v>
      </c>
      <c r="F41">
        <f>E41*COS(RADIANS('Input data'!$B$10))</f>
        <v>5.8589811577663209</v>
      </c>
      <c r="G41">
        <f>E41*SIN(RADIANS('Input data'!$B$10))</f>
        <v>0</v>
      </c>
      <c r="H41">
        <f>1.22*EXP(-0.0001065*(P40+'Input data'!$B$12))</f>
        <v>1.1980306576317321</v>
      </c>
      <c r="I41">
        <f t="shared" si="1"/>
        <v>17.81007678373803</v>
      </c>
      <c r="J41">
        <f>-0.5*H41*I41*AK41*'Input data'!$B$19*(B41-F41)/AF41</f>
        <v>-7.402824683223129E-2</v>
      </c>
      <c r="K41">
        <f>-0.5*H41*I41*AK41*'Input data'!$B$19*(C41-G41)/AF41</f>
        <v>0</v>
      </c>
      <c r="L41">
        <f>(-0.5*H41*AK41*I41*'Input data'!$B$19*D41/AF41)-'Input data'!$B$23</f>
        <v>-11.652990516530478</v>
      </c>
      <c r="M41">
        <f>IF(AF41&gt;0,IF(P40&lt;=Param_1,M40,M40+(B42*'Input data'!$B$24)),M40)</f>
        <v>24.50474146680595</v>
      </c>
      <c r="N41">
        <f>IF(AF41&gt;0,IF(P40&lt;=Param_1,N40,N40+(C42*'Input data'!$B$24)),N40)</f>
        <v>0</v>
      </c>
      <c r="O41">
        <f t="shared" si="0"/>
        <v>0</v>
      </c>
      <c r="P41">
        <f>IF(P40&lt;=-100000,0,IF(AF41&gt;0,IF(P40&lt;Param_1,P40,P40+(D42*'Input data'!$B$24)),P40))</f>
        <v>172.28998666083723</v>
      </c>
      <c r="Q41">
        <f t="shared" si="2"/>
        <v>24.50474146680595</v>
      </c>
      <c r="T41">
        <f t="shared" si="3"/>
        <v>24.50474146680595</v>
      </c>
      <c r="U41">
        <f t="shared" si="4"/>
        <v>0</v>
      </c>
      <c r="V41" s="74">
        <f>IF(X41=0,'Input data'!$Q$22,Q41)</f>
        <v>24.50474146680595</v>
      </c>
      <c r="W41" s="74">
        <f>IF(U41=0,'Input data'!$Q$23,U41)</f>
        <v>0</v>
      </c>
      <c r="X41" s="74">
        <f t="shared" si="12"/>
        <v>172.28998666083723</v>
      </c>
      <c r="Y41">
        <f>IF(P40&lt;Param_1,Y40,A42*'Input data'!$B$25*SIN(RADIANS('Input data'!$B$10)))</f>
        <v>0</v>
      </c>
      <c r="Z41">
        <f>IF(P40&lt;Param_1,Z40,A42*'Input data'!$B$25*COS(RADIANS('Input data'!$B$10)))</f>
        <v>14.583333333333341</v>
      </c>
      <c r="AA41">
        <f t="shared" si="10"/>
        <v>3.5000000000000018</v>
      </c>
      <c r="AB41">
        <f t="shared" si="11"/>
        <v>3.5000000000000018</v>
      </c>
      <c r="AC41">
        <f>IF(ROUND(A41*10,3)='Input data'!$B$14*10,M41,0)</f>
        <v>0</v>
      </c>
      <c r="AD41">
        <f>IF(ROUND(A41*10,3)='Input data'!$B$14*10,N41,0)</f>
        <v>0</v>
      </c>
      <c r="AE41">
        <f>IF(ROUND(A41*10,3)='Input data'!$B$14*10,P41,0)</f>
        <v>0</v>
      </c>
      <c r="AF41">
        <f>IF('Input data'!$B$26="C",IF((3.14159265*1860/4)*((0.001*'Input data'!$B$20)-(2*'Input data'!$B$28*A41))^2*((0.33333*0.001*'Input data'!$B$20)-(2*'Input data'!$B$28*A41))&lt;0,(3.14159265*1860/4)*((0.001*'Input data'!$B$20)-(2*'Input data'!$B$28*A41))^2*((0.33333*0.001*'Input data'!$B$20)-(2*'Input data'!$B$28*A41)),(3.14159265*1860/4)*((0.001*'Input data'!$B$20)-(2*'Input data'!$B$28*A41))^2*((0.33333*0.001*'Input data'!$B$20)-(2*'Input data'!$B$28*A41))),'Input data'!$B$21)</f>
        <v>0.40680208090393727</v>
      </c>
      <c r="AG41">
        <f t="shared" si="6"/>
        <v>0</v>
      </c>
      <c r="AH41">
        <f t="shared" si="7"/>
        <v>0</v>
      </c>
      <c r="AI41">
        <f t="shared" si="13"/>
        <v>0</v>
      </c>
      <c r="AJ41">
        <f t="shared" si="9"/>
        <v>3000</v>
      </c>
      <c r="AK41">
        <f>IF('Input data'!$B$26="S",'Input data'!$B$22,3.1415*(('Input data'!$B$20*0.0005)-('Input data'!$B$28*A41))^2)</f>
        <v>7.8539816250000026E-3</v>
      </c>
    </row>
    <row r="42" spans="1:37" x14ac:dyDescent="0.2">
      <c r="A42" s="9">
        <f>A41+'Input data'!$B$24</f>
        <v>3.5000000000000018</v>
      </c>
      <c r="B42">
        <f>B41+(J41*'Input data'!$B$24)</f>
        <v>6.5644565425062025</v>
      </c>
      <c r="C42">
        <f>C41+(K41*'Input data'!$B$24)</f>
        <v>0</v>
      </c>
      <c r="D42">
        <f>D41+(L41*'Input data'!$B$24)</f>
        <v>16.63050493977072</v>
      </c>
      <c r="E42">
        <f>IF('Input data'!$B$13=2,'Input data'!$B$25*((0.1036*LN(ABS(P41+1)))+0.8731),IF('Input data'!$B$13=3,'Input data'!$B$25*((0.139*LN(ABS(P41+1)))+0.7503),'Input data'!$B$25))</f>
        <v>5.8631438356685592</v>
      </c>
      <c r="F42">
        <f>E42*COS(RADIANS('Input data'!$B$10))</f>
        <v>5.8631438356685592</v>
      </c>
      <c r="G42">
        <f>E42*SIN(RADIANS('Input data'!$B$10))</f>
        <v>0</v>
      </c>
      <c r="H42">
        <f>1.22*EXP(-0.0001065*(P41+'Input data'!$B$12))</f>
        <v>1.1978184873682443</v>
      </c>
      <c r="I42">
        <f t="shared" si="1"/>
        <v>16.645285640820653</v>
      </c>
      <c r="J42">
        <f>-0.5*H42*I42*AK42*'Input data'!$B$19*(B42-F42)/AF42</f>
        <v>-6.8052231819531378E-2</v>
      </c>
      <c r="K42">
        <f>-0.5*H42*I42*AK42*'Input data'!$B$19*(C42-G42)/AF42</f>
        <v>0</v>
      </c>
      <c r="L42">
        <f>(-0.5*H42*AK42*I42*'Input data'!$B$19*D42/AF42)-'Input data'!$B$23</f>
        <v>-11.418749425046624</v>
      </c>
      <c r="M42">
        <f>IF(AF42&gt;0,IF(P41&lt;=Param_1,M41,M41+(B43*'Input data'!$B$24)),M41)</f>
        <v>25.160506598738376</v>
      </c>
      <c r="N42">
        <f>IF(AF42&gt;0,IF(P41&lt;=Param_1,N41,N41+(C43*'Input data'!$B$24)),N41)</f>
        <v>0</v>
      </c>
      <c r="O42">
        <f t="shared" si="0"/>
        <v>0</v>
      </c>
      <c r="P42">
        <f>IF(P41&lt;=-100000,0,IF(AF42&gt;0,IF(P41&lt;Param_1,P41,P41+(D43*'Input data'!$B$24)),P41))</f>
        <v>173.83884966056382</v>
      </c>
      <c r="Q42">
        <f t="shared" si="2"/>
        <v>25.160506598738376</v>
      </c>
      <c r="T42">
        <f t="shared" si="3"/>
        <v>25.160506598738376</v>
      </c>
      <c r="U42">
        <f t="shared" si="4"/>
        <v>0</v>
      </c>
      <c r="V42" s="74">
        <f>IF(X42=0,'Input data'!$Q$22,Q42)</f>
        <v>25.160506598738376</v>
      </c>
      <c r="W42" s="74">
        <f>IF(U42=0,'Input data'!$Q$23,U42)</f>
        <v>0</v>
      </c>
      <c r="X42" s="74">
        <f t="shared" si="12"/>
        <v>173.83884966056382</v>
      </c>
      <c r="Y42">
        <f>IF(P41&lt;Param_1,Y41,A43*'Input data'!$B$25*SIN(RADIANS('Input data'!$B$10)))</f>
        <v>0</v>
      </c>
      <c r="Z42">
        <f>IF(P41&lt;Param_1,Z41,A43*'Input data'!$B$25*COS(RADIANS('Input data'!$B$10)))</f>
        <v>15.000000000000009</v>
      </c>
      <c r="AA42">
        <f t="shared" si="10"/>
        <v>3.6000000000000019</v>
      </c>
      <c r="AB42">
        <f t="shared" si="11"/>
        <v>3.6000000000000019</v>
      </c>
      <c r="AC42">
        <f>IF(ROUND(A42*10,3)='Input data'!$B$14*10,M42,0)</f>
        <v>0</v>
      </c>
      <c r="AD42">
        <f>IF(ROUND(A42*10,3)='Input data'!$B$14*10,N42,0)</f>
        <v>0</v>
      </c>
      <c r="AE42">
        <f>IF(ROUND(A42*10,3)='Input data'!$B$14*10,P42,0)</f>
        <v>0</v>
      </c>
      <c r="AF42">
        <f>IF('Input data'!$B$26="C",IF((3.14159265*1860/4)*((0.001*'Input data'!$B$20)-(2*'Input data'!$B$28*A42))^2*((0.33333*0.001*'Input data'!$B$20)-(2*'Input data'!$B$28*A42))&lt;0,(3.14159265*1860/4)*((0.001*'Input data'!$B$20)-(2*'Input data'!$B$28*A42))^2*((0.33333*0.001*'Input data'!$B$20)-(2*'Input data'!$B$28*A42)),(3.14159265*1860/4)*((0.001*'Input data'!$B$20)-(2*'Input data'!$B$28*A42))^2*((0.33333*0.001*'Input data'!$B$20)-(2*'Input data'!$B$28*A42))),'Input data'!$B$21)</f>
        <v>0.40680208090393727</v>
      </c>
      <c r="AG42">
        <f t="shared" si="6"/>
        <v>0</v>
      </c>
      <c r="AH42">
        <f t="shared" si="7"/>
        <v>0</v>
      </c>
      <c r="AI42">
        <f t="shared" si="13"/>
        <v>0</v>
      </c>
      <c r="AJ42">
        <f t="shared" si="9"/>
        <v>3000</v>
      </c>
      <c r="AK42">
        <f>IF('Input data'!$B$26="S",'Input data'!$B$22,3.1415*(('Input data'!$B$20*0.0005)-('Input data'!$B$28*A42))^2)</f>
        <v>7.8539816250000026E-3</v>
      </c>
    </row>
    <row r="43" spans="1:37" x14ac:dyDescent="0.2">
      <c r="A43" s="9">
        <f>A42+'Input data'!$B$24</f>
        <v>3.6000000000000019</v>
      </c>
      <c r="B43">
        <f>B42+(J42*'Input data'!$B$24)</f>
        <v>6.5576513193242496</v>
      </c>
      <c r="C43">
        <f>C42+(K42*'Input data'!$B$24)</f>
        <v>0</v>
      </c>
      <c r="D43">
        <f>D42+(L42*'Input data'!$B$24)</f>
        <v>15.488629997266058</v>
      </c>
      <c r="E43">
        <f>IF('Input data'!$B$13=2,'Input data'!$B$25*((0.1036*LN(ABS(P42+1)))+0.8731),IF('Input data'!$B$13=3,'Input data'!$B$25*((0.139*LN(ABS(P42+1)))+0.7503),'Input data'!$B$25))</f>
        <v>5.866984924771276</v>
      </c>
      <c r="F43">
        <f>E43*COS(RADIANS('Input data'!$B$10))</f>
        <v>5.866984924771276</v>
      </c>
      <c r="G43">
        <f>E43*SIN(RADIANS('Input data'!$B$10))</f>
        <v>0</v>
      </c>
      <c r="H43">
        <f>1.22*EXP(-0.0001065*(P42+'Input data'!$B$12))</f>
        <v>1.1976209188212164</v>
      </c>
      <c r="I43">
        <f t="shared" si="1"/>
        <v>15.504021389974112</v>
      </c>
      <c r="J43">
        <f>-0.5*H43*I43*AK43*'Input data'!$B$19*(B43-F43)/AF43</f>
        <v>-6.2413776043174954E-2</v>
      </c>
      <c r="K43">
        <f>-0.5*H43*I43*AK43*'Input data'!$B$19*(C43-G43)/AF43</f>
        <v>0</v>
      </c>
      <c r="L43">
        <f>(-0.5*H43*AK43*I43*'Input data'!$B$19*D43/AF43)-'Input data'!$B$23</f>
        <v>-11.204668336969911</v>
      </c>
      <c r="M43">
        <f>IF(AF43&gt;0,IF(P42&lt;=Param_1,M42,M42+(B44*'Input data'!$B$24)),M42)</f>
        <v>25.81564759291037</v>
      </c>
      <c r="N43">
        <f>IF(AF43&gt;0,IF(P42&lt;=Param_1,N42,N42+(C44*'Input data'!$B$24)),N42)</f>
        <v>0</v>
      </c>
      <c r="O43">
        <f t="shared" si="0"/>
        <v>0</v>
      </c>
      <c r="P43">
        <f>IF(P42&lt;=-100000,0,IF(AF43&gt;0,IF(P42&lt;Param_1,P42,P42+(D44*'Input data'!$B$24)),P42))</f>
        <v>175.27566597692072</v>
      </c>
      <c r="Q43">
        <f t="shared" si="2"/>
        <v>25.81564759291037</v>
      </c>
      <c r="T43">
        <f t="shared" si="3"/>
        <v>25.81564759291037</v>
      </c>
      <c r="U43">
        <f t="shared" si="4"/>
        <v>0</v>
      </c>
      <c r="V43" s="74">
        <f>IF(X43=0,'Input data'!$Q$22,Q43)</f>
        <v>25.81564759291037</v>
      </c>
      <c r="W43" s="74">
        <f>IF(U43=0,'Input data'!$Q$23,U43)</f>
        <v>0</v>
      </c>
      <c r="X43" s="74">
        <f t="shared" si="12"/>
        <v>175.27566597692072</v>
      </c>
      <c r="Y43">
        <f>IF(P42&lt;Param_1,Y42,A44*'Input data'!$B$25*SIN(RADIANS('Input data'!$B$10)))</f>
        <v>0</v>
      </c>
      <c r="Z43">
        <f>IF(P42&lt;Param_1,Z42,A44*'Input data'!$B$25*COS(RADIANS('Input data'!$B$10)))</f>
        <v>15.416666666666677</v>
      </c>
      <c r="AA43">
        <f t="shared" si="10"/>
        <v>3.700000000000002</v>
      </c>
      <c r="AB43">
        <f t="shared" si="11"/>
        <v>3.700000000000002</v>
      </c>
      <c r="AC43">
        <f>IF(ROUND(A43*10,3)='Input data'!$B$14*10,M43,0)</f>
        <v>0</v>
      </c>
      <c r="AD43">
        <f>IF(ROUND(A43*10,3)='Input data'!$B$14*10,N43,0)</f>
        <v>0</v>
      </c>
      <c r="AE43">
        <f>IF(ROUND(A43*10,3)='Input data'!$B$14*10,P43,0)</f>
        <v>0</v>
      </c>
      <c r="AF43">
        <f>IF('Input data'!$B$26="C",IF((3.14159265*1860/4)*((0.001*'Input data'!$B$20)-(2*'Input data'!$B$28*A43))^2*((0.33333*0.001*'Input data'!$B$20)-(2*'Input data'!$B$28*A43))&lt;0,(3.14159265*1860/4)*((0.001*'Input data'!$B$20)-(2*'Input data'!$B$28*A43))^2*((0.33333*0.001*'Input data'!$B$20)-(2*'Input data'!$B$28*A43)),(3.14159265*1860/4)*((0.001*'Input data'!$B$20)-(2*'Input data'!$B$28*A43))^2*((0.33333*0.001*'Input data'!$B$20)-(2*'Input data'!$B$28*A43))),'Input data'!$B$21)</f>
        <v>0.40680208090393727</v>
      </c>
      <c r="AG43">
        <f t="shared" si="6"/>
        <v>0</v>
      </c>
      <c r="AH43">
        <f t="shared" si="7"/>
        <v>0</v>
      </c>
      <c r="AI43">
        <f t="shared" si="13"/>
        <v>0</v>
      </c>
      <c r="AJ43">
        <f t="shared" si="9"/>
        <v>3000</v>
      </c>
      <c r="AK43">
        <f>IF('Input data'!$B$26="S",'Input data'!$B$22,3.1415*(('Input data'!$B$20*0.0005)-('Input data'!$B$28*A43))^2)</f>
        <v>7.8539816250000026E-3</v>
      </c>
    </row>
    <row r="44" spans="1:37" x14ac:dyDescent="0.2">
      <c r="A44" s="9">
        <f>A43+'Input data'!$B$24</f>
        <v>3.700000000000002</v>
      </c>
      <c r="B44">
        <f>B43+(J43*'Input data'!$B$24)</f>
        <v>6.5514099417199319</v>
      </c>
      <c r="C44">
        <f>C43+(K43*'Input data'!$B$24)</f>
        <v>0</v>
      </c>
      <c r="D44">
        <f>D43+(L43*'Input data'!$B$24)</f>
        <v>14.368163163569067</v>
      </c>
      <c r="E44">
        <f>IF('Input data'!$B$13=2,'Input data'!$B$25*((0.1036*LN(ABS(P43+1)))+0.8731),IF('Input data'!$B$13=3,'Input data'!$B$25*((0.139*LN(ABS(P43+1)))+0.7503),'Input data'!$B$25))</f>
        <v>5.8705178414942063</v>
      </c>
      <c r="F44">
        <f>E44*COS(RADIANS('Input data'!$B$10))</f>
        <v>5.8705178414942063</v>
      </c>
      <c r="G44">
        <f>E44*SIN(RADIANS('Input data'!$B$10))</f>
        <v>0</v>
      </c>
      <c r="H44">
        <f>1.22*EXP(-0.0001065*(P43+'Input data'!$B$12))</f>
        <v>1.1974376717658943</v>
      </c>
      <c r="I44">
        <f t="shared" si="1"/>
        <v>14.384287495287795</v>
      </c>
      <c r="J44">
        <f>-0.5*H44*I44*AK44*'Input data'!$B$19*(B44-F44)/AF44</f>
        <v>-5.7077897612321349E-2</v>
      </c>
      <c r="K44">
        <f>-0.5*H44*I44*AK44*'Input data'!$B$19*(C44-G44)/AF44</f>
        <v>0</v>
      </c>
      <c r="L44">
        <f>(-0.5*H44*AK44*I44*'Input data'!$B$19*D44/AF44)-'Input data'!$B$23</f>
        <v>-11.009455956612577</v>
      </c>
      <c r="M44">
        <f>IF(AF44&gt;0,IF(P43&lt;=Param_1,M43,M43+(B45*'Input data'!$B$24)),M43)</f>
        <v>26.470217808106241</v>
      </c>
      <c r="N44">
        <f>IF(AF44&gt;0,IF(P43&lt;=Param_1,N43,N43+(C45*'Input data'!$B$24)),N43)</f>
        <v>0</v>
      </c>
      <c r="O44">
        <f t="shared" si="0"/>
        <v>0</v>
      </c>
      <c r="P44">
        <f>IF(P43&lt;=-100000,0,IF(AF44&gt;0,IF(P43&lt;Param_1,P43,P43+(D45*'Input data'!$B$24)),P43))</f>
        <v>176.60238773371151</v>
      </c>
      <c r="Q44">
        <f t="shared" si="2"/>
        <v>26.470217808106241</v>
      </c>
      <c r="T44">
        <f t="shared" si="3"/>
        <v>26.470217808106241</v>
      </c>
      <c r="U44">
        <f t="shared" si="4"/>
        <v>0</v>
      </c>
      <c r="V44" s="74">
        <f>IF(X44=0,'Input data'!$Q$22,Q44)</f>
        <v>26.470217808106241</v>
      </c>
      <c r="W44" s="74">
        <f>IF(U44=0,'Input data'!$Q$23,U44)</f>
        <v>0</v>
      </c>
      <c r="X44" s="74">
        <f t="shared" si="12"/>
        <v>176.60238773371151</v>
      </c>
      <c r="Y44">
        <f>IF(P43&lt;Param_1,Y43,A45*'Input data'!$B$25*SIN(RADIANS('Input data'!$B$10)))</f>
        <v>0</v>
      </c>
      <c r="Z44">
        <f>IF(P43&lt;Param_1,Z43,A45*'Input data'!$B$25*COS(RADIANS('Input data'!$B$10)))</f>
        <v>15.833333333333343</v>
      </c>
      <c r="AA44">
        <f t="shared" si="10"/>
        <v>3.800000000000002</v>
      </c>
      <c r="AB44">
        <f t="shared" si="11"/>
        <v>3.800000000000002</v>
      </c>
      <c r="AC44">
        <f>IF(ROUND(A44*10,3)='Input data'!$B$14*10,M44,0)</f>
        <v>0</v>
      </c>
      <c r="AD44">
        <f>IF(ROUND(A44*10,3)='Input data'!$B$14*10,N44,0)</f>
        <v>0</v>
      </c>
      <c r="AE44">
        <f>IF(ROUND(A44*10,3)='Input data'!$B$14*10,P44,0)</f>
        <v>0</v>
      </c>
      <c r="AF44">
        <f>IF('Input data'!$B$26="C",IF((3.14159265*1860/4)*((0.001*'Input data'!$B$20)-(2*'Input data'!$B$28*A44))^2*((0.33333*0.001*'Input data'!$B$20)-(2*'Input data'!$B$28*A44))&lt;0,(3.14159265*1860/4)*((0.001*'Input data'!$B$20)-(2*'Input data'!$B$28*A44))^2*((0.33333*0.001*'Input data'!$B$20)-(2*'Input data'!$B$28*A44)),(3.14159265*1860/4)*((0.001*'Input data'!$B$20)-(2*'Input data'!$B$28*A44))^2*((0.33333*0.001*'Input data'!$B$20)-(2*'Input data'!$B$28*A44))),'Input data'!$B$21)</f>
        <v>0.40680208090393727</v>
      </c>
      <c r="AG44">
        <f t="shared" si="6"/>
        <v>0</v>
      </c>
      <c r="AH44">
        <f t="shared" si="7"/>
        <v>0</v>
      </c>
      <c r="AI44">
        <f t="shared" si="13"/>
        <v>0</v>
      </c>
      <c r="AJ44">
        <f t="shared" si="9"/>
        <v>3000</v>
      </c>
      <c r="AK44">
        <f>IF('Input data'!$B$26="S",'Input data'!$B$22,3.1415*(('Input data'!$B$20*0.0005)-('Input data'!$B$28*A44))^2)</f>
        <v>7.8539816250000026E-3</v>
      </c>
    </row>
    <row r="45" spans="1:37" x14ac:dyDescent="0.2">
      <c r="A45" s="9">
        <f>A44+'Input data'!$B$24</f>
        <v>3.800000000000002</v>
      </c>
      <c r="B45">
        <f>B44+(J44*'Input data'!$B$24)</f>
        <v>6.5457021519586993</v>
      </c>
      <c r="C45">
        <f>C44+(K44*'Input data'!$B$24)</f>
        <v>0</v>
      </c>
      <c r="D45">
        <f>D44+(L44*'Input data'!$B$24)</f>
        <v>13.267217567907808</v>
      </c>
      <c r="E45">
        <f>IF('Input data'!$B$13=2,'Input data'!$B$25*((0.1036*LN(ABS(P44+1)))+0.8731),IF('Input data'!$B$13=3,'Input data'!$B$25*((0.139*LN(ABS(P44+1)))+0.7503),'Input data'!$B$25))</f>
        <v>5.8737545736713255</v>
      </c>
      <c r="F45">
        <f>E45*COS(RADIANS('Input data'!$B$10))</f>
        <v>5.8737545736713255</v>
      </c>
      <c r="G45">
        <f>E45*SIN(RADIANS('Input data'!$B$10))</f>
        <v>0</v>
      </c>
      <c r="H45">
        <f>1.22*EXP(-0.0001065*(P44+'Input data'!$B$12))</f>
        <v>1.1972684907243387</v>
      </c>
      <c r="I45">
        <f t="shared" si="1"/>
        <v>13.284222805349504</v>
      </c>
      <c r="J45">
        <f>-0.5*H45*I45*AK45*'Input data'!$B$19*(B45-F45)/AF45</f>
        <v>-5.2012951424518221E-2</v>
      </c>
      <c r="K45">
        <f>-0.5*H45*I45*AK45*'Input data'!$B$19*(C45-G45)/AF45</f>
        <v>0</v>
      </c>
      <c r="L45">
        <f>(-0.5*H45*AK45*I45*'Input data'!$B$19*D45/AF45)-'Input data'!$B$23</f>
        <v>-10.831965741370647</v>
      </c>
      <c r="M45">
        <f>IF(AF45&gt;0,IF(P44&lt;=Param_1,M44,M44+(B46*'Input data'!$B$24)),M44)</f>
        <v>27.124267893787867</v>
      </c>
      <c r="N45">
        <f>IF(AF45&gt;0,IF(P44&lt;=Param_1,N44,N44+(C46*'Input data'!$B$24)),N44)</f>
        <v>0</v>
      </c>
      <c r="O45">
        <f t="shared" si="0"/>
        <v>0</v>
      </c>
      <c r="P45">
        <f>IF(P44&lt;=-100000,0,IF(AF45&gt;0,IF(P44&lt;Param_1,P44,P44+(D46*'Input data'!$B$24)),P44))</f>
        <v>177.82078983308858</v>
      </c>
      <c r="Q45">
        <f t="shared" si="2"/>
        <v>27.124267893787867</v>
      </c>
      <c r="T45">
        <f t="shared" si="3"/>
        <v>27.124267893787867</v>
      </c>
      <c r="U45">
        <f t="shared" si="4"/>
        <v>0</v>
      </c>
      <c r="V45" s="74">
        <f>IF(X45=0,'Input data'!$Q$22,Q45)</f>
        <v>27.124267893787867</v>
      </c>
      <c r="W45" s="74">
        <f>IF(U45=0,'Input data'!$Q$23,U45)</f>
        <v>0</v>
      </c>
      <c r="X45" s="74">
        <f t="shared" si="12"/>
        <v>177.82078983308858</v>
      </c>
      <c r="Y45">
        <f>IF(P44&lt;Param_1,Y44,A46*'Input data'!$B$25*SIN(RADIANS('Input data'!$B$10)))</f>
        <v>0</v>
      </c>
      <c r="Z45">
        <f>IF(P44&lt;Param_1,Z44,A46*'Input data'!$B$25*COS(RADIANS('Input data'!$B$10)))</f>
        <v>16.250000000000011</v>
      </c>
      <c r="AA45">
        <f t="shared" si="10"/>
        <v>3.9000000000000021</v>
      </c>
      <c r="AB45">
        <f t="shared" si="11"/>
        <v>3.9000000000000021</v>
      </c>
      <c r="AC45">
        <f>IF(ROUND(A45*10,3)='Input data'!$B$14*10,M45,0)</f>
        <v>0</v>
      </c>
      <c r="AD45">
        <f>IF(ROUND(A45*10,3)='Input data'!$B$14*10,N45,0)</f>
        <v>0</v>
      </c>
      <c r="AE45">
        <f>IF(ROUND(A45*10,3)='Input data'!$B$14*10,P45,0)</f>
        <v>0</v>
      </c>
      <c r="AF45">
        <f>IF('Input data'!$B$26="C",IF((3.14159265*1860/4)*((0.001*'Input data'!$B$20)-(2*'Input data'!$B$28*A45))^2*((0.33333*0.001*'Input data'!$B$20)-(2*'Input data'!$B$28*A45))&lt;0,(3.14159265*1860/4)*((0.001*'Input data'!$B$20)-(2*'Input data'!$B$28*A45))^2*((0.33333*0.001*'Input data'!$B$20)-(2*'Input data'!$B$28*A45)),(3.14159265*1860/4)*((0.001*'Input data'!$B$20)-(2*'Input data'!$B$28*A45))^2*((0.33333*0.001*'Input data'!$B$20)-(2*'Input data'!$B$28*A45))),'Input data'!$B$21)</f>
        <v>0.40680208090393727</v>
      </c>
      <c r="AG45">
        <f t="shared" si="6"/>
        <v>0</v>
      </c>
      <c r="AH45">
        <f t="shared" si="7"/>
        <v>0</v>
      </c>
      <c r="AI45">
        <f t="shared" si="13"/>
        <v>0</v>
      </c>
      <c r="AJ45">
        <f t="shared" si="9"/>
        <v>3000</v>
      </c>
      <c r="AK45">
        <f>IF('Input data'!$B$26="S",'Input data'!$B$22,3.1415*(('Input data'!$B$20*0.0005)-('Input data'!$B$28*A45))^2)</f>
        <v>7.8539816250000026E-3</v>
      </c>
    </row>
    <row r="46" spans="1:37" x14ac:dyDescent="0.2">
      <c r="A46" s="9">
        <f>A45+'Input data'!$B$24</f>
        <v>3.9000000000000021</v>
      </c>
      <c r="B46">
        <f>B45+(J45*'Input data'!$B$24)</f>
        <v>6.5405008568162479</v>
      </c>
      <c r="C46">
        <f>C45+(K45*'Input data'!$B$24)</f>
        <v>0</v>
      </c>
      <c r="D46">
        <f>D45+(L45*'Input data'!$B$24)</f>
        <v>12.184020993770744</v>
      </c>
      <c r="E46">
        <f>IF('Input data'!$B$13=2,'Input data'!$B$25*((0.1036*LN(ABS(P45+1)))+0.8731),IF('Input data'!$B$13=3,'Input data'!$B$25*((0.139*LN(ABS(P45+1)))+0.7503),'Input data'!$B$25))</f>
        <v>5.876705816209201</v>
      </c>
      <c r="F46">
        <f>E46*COS(RADIANS('Input data'!$B$10))</f>
        <v>5.876705816209201</v>
      </c>
      <c r="G46">
        <f>E46*SIN(RADIANS('Input data'!$B$10))</f>
        <v>0</v>
      </c>
      <c r="H46">
        <f>1.22*EXP(-0.0001065*(P45+'Input data'!$B$12))</f>
        <v>1.197113143455335</v>
      </c>
      <c r="I46">
        <f t="shared" si="1"/>
        <v>12.202089633852914</v>
      </c>
      <c r="J46">
        <f>-0.5*H46*I46*AK46*'Input data'!$B$19*(B46-F46)/AF46</f>
        <v>-4.7190199596625966E-2</v>
      </c>
      <c r="K46">
        <f>-0.5*H46*I46*AK46*'Input data'!$B$19*(C46-G46)/AF46</f>
        <v>0</v>
      </c>
      <c r="L46">
        <f>(-0.5*H46*AK46*I46*'Input data'!$B$19*D46/AF46)-'Input data'!$B$23</f>
        <v>-10.671180594027502</v>
      </c>
      <c r="M46">
        <f>IF(AF46&gt;0,IF(P45&lt;=Param_1,M45,M45+(B47*'Input data'!$B$24)),M45)</f>
        <v>27.777846077473527</v>
      </c>
      <c r="N46">
        <f>IF(AF46&gt;0,IF(P45&lt;=Param_1,N45,N45+(C47*'Input data'!$B$24)),N45)</f>
        <v>0</v>
      </c>
      <c r="O46">
        <f t="shared" si="0"/>
        <v>0</v>
      </c>
      <c r="P46">
        <f>IF(P45&lt;=-100000,0,IF(AF46&gt;0,IF(P45&lt;Param_1,P45,P45+(D47*'Input data'!$B$24)),P45))</f>
        <v>178.93248012652538</v>
      </c>
      <c r="Q46">
        <f t="shared" si="2"/>
        <v>27.777846077473527</v>
      </c>
      <c r="T46">
        <f t="shared" si="3"/>
        <v>27.777846077473527</v>
      </c>
      <c r="U46">
        <f t="shared" si="4"/>
        <v>0</v>
      </c>
      <c r="V46" s="74">
        <f>IF(X46=0,'Input data'!$Q$22,Q46)</f>
        <v>27.777846077473527</v>
      </c>
      <c r="W46" s="74">
        <f>IF(U46=0,'Input data'!$Q$23,U46)</f>
        <v>0</v>
      </c>
      <c r="X46" s="74">
        <f t="shared" si="12"/>
        <v>178.93248012652538</v>
      </c>
      <c r="Y46">
        <f>IF(P45&lt;Param_1,Y45,A47*'Input data'!$B$25*SIN(RADIANS('Input data'!$B$10)))</f>
        <v>0</v>
      </c>
      <c r="Z46">
        <f>IF(P45&lt;Param_1,Z45,A47*'Input data'!$B$25*COS(RADIANS('Input data'!$B$10)))</f>
        <v>16.666666666666675</v>
      </c>
      <c r="AA46">
        <f t="shared" si="10"/>
        <v>4.0000000000000018</v>
      </c>
      <c r="AB46">
        <f t="shared" si="11"/>
        <v>4.0000000000000018</v>
      </c>
      <c r="AC46">
        <f>IF(ROUND(A46*10,3)='Input data'!$B$14*10,M46,0)</f>
        <v>0</v>
      </c>
      <c r="AD46">
        <f>IF(ROUND(A46*10,3)='Input data'!$B$14*10,N46,0)</f>
        <v>0</v>
      </c>
      <c r="AE46">
        <f>IF(ROUND(A46*10,3)='Input data'!$B$14*10,P46,0)</f>
        <v>0</v>
      </c>
      <c r="AF46">
        <f>IF('Input data'!$B$26="C",IF((3.14159265*1860/4)*((0.001*'Input data'!$B$20)-(2*'Input data'!$B$28*A46))^2*((0.33333*0.001*'Input data'!$B$20)-(2*'Input data'!$B$28*A46))&lt;0,(3.14159265*1860/4)*((0.001*'Input data'!$B$20)-(2*'Input data'!$B$28*A46))^2*((0.33333*0.001*'Input data'!$B$20)-(2*'Input data'!$B$28*A46)),(3.14159265*1860/4)*((0.001*'Input data'!$B$20)-(2*'Input data'!$B$28*A46))^2*((0.33333*0.001*'Input data'!$B$20)-(2*'Input data'!$B$28*A46))),'Input data'!$B$21)</f>
        <v>0.40680208090393727</v>
      </c>
      <c r="AG46">
        <f t="shared" si="6"/>
        <v>0</v>
      </c>
      <c r="AH46">
        <f t="shared" si="7"/>
        <v>0</v>
      </c>
      <c r="AI46">
        <f t="shared" si="13"/>
        <v>0</v>
      </c>
      <c r="AJ46">
        <f t="shared" si="9"/>
        <v>3000</v>
      </c>
      <c r="AK46">
        <f>IF('Input data'!$B$26="S",'Input data'!$B$22,3.1415*(('Input data'!$B$20*0.0005)-('Input data'!$B$28*A46))^2)</f>
        <v>7.8539816250000026E-3</v>
      </c>
    </row>
    <row r="47" spans="1:37" x14ac:dyDescent="0.2">
      <c r="A47" s="9">
        <f>A46+'Input data'!$B$24</f>
        <v>4.0000000000000018</v>
      </c>
      <c r="B47">
        <f>B46+(J46*'Input data'!$B$24)</f>
        <v>6.535781836856585</v>
      </c>
      <c r="C47">
        <f>C46+(K46*'Input data'!$B$24)</f>
        <v>0</v>
      </c>
      <c r="D47">
        <f>D46+(L46*'Input data'!$B$24)</f>
        <v>11.116902934367994</v>
      </c>
      <c r="E47">
        <f>IF('Input data'!$B$13=2,'Input data'!$B$25*((0.1036*LN(ABS(P46+1)))+0.8731),IF('Input data'!$B$13=3,'Input data'!$B$25*((0.139*LN(ABS(P46+1)))+0.7503),'Input data'!$B$25))</f>
        <v>5.8793810875977037</v>
      </c>
      <c r="F47">
        <f>E47*COS(RADIANS('Input data'!$B$10))</f>
        <v>5.8793810875977037</v>
      </c>
      <c r="G47">
        <f>E47*SIN(RADIANS('Input data'!$B$10))</f>
        <v>0</v>
      </c>
      <c r="H47">
        <f>1.22*EXP(-0.0001065*(P46+'Input data'!$B$12))</f>
        <v>1.1969714196151251</v>
      </c>
      <c r="I47">
        <f t="shared" si="1"/>
        <v>11.136264759594544</v>
      </c>
      <c r="J47">
        <f>-0.5*H47*I47*AK47*'Input data'!$B$19*(B47-F47)/AF47</f>
        <v>-4.2583445432258206E-2</v>
      </c>
      <c r="K47">
        <f>-0.5*H47*I47*AK47*'Input data'!$B$19*(C47-G47)/AF47</f>
        <v>0</v>
      </c>
      <c r="L47">
        <f>(-0.5*H47*AK47*I47*'Input data'!$B$19*D47/AF47)-'Input data'!$B$23</f>
        <v>-10.526199709195739</v>
      </c>
      <c r="M47">
        <f>IF(AF47&gt;0,IF(P46&lt;=Param_1,M46,M46+(B48*'Input data'!$B$24)),M46)</f>
        <v>28.430998426704864</v>
      </c>
      <c r="N47">
        <f>IF(AF47&gt;0,IF(P46&lt;=Param_1,N46,N46+(C48*'Input data'!$B$24)),N46)</f>
        <v>0</v>
      </c>
      <c r="O47">
        <f t="shared" si="0"/>
        <v>0</v>
      </c>
      <c r="P47">
        <f>IF(P46&lt;=-100000,0,IF(AF47&gt;0,IF(P46&lt;Param_1,P46,P46+(D48*'Input data'!$B$24)),P46))</f>
        <v>179.93890842287021</v>
      </c>
      <c r="Q47">
        <f t="shared" si="2"/>
        <v>28.430998426704864</v>
      </c>
      <c r="T47">
        <f t="shared" si="3"/>
        <v>28.430998426704864</v>
      </c>
      <c r="U47">
        <f t="shared" si="4"/>
        <v>0</v>
      </c>
      <c r="V47" s="74">
        <f>IF(X47=0,'Input data'!$Q$22,Q47)</f>
        <v>28.430998426704864</v>
      </c>
      <c r="W47" s="74">
        <f>IF(U47=0,'Input data'!$Q$23,U47)</f>
        <v>0</v>
      </c>
      <c r="X47" s="74">
        <f t="shared" si="12"/>
        <v>179.93890842287021</v>
      </c>
      <c r="Y47">
        <f>IF(P46&lt;Param_1,Y46,A48*'Input data'!$B$25*SIN(RADIANS('Input data'!$B$10)))</f>
        <v>0</v>
      </c>
      <c r="Z47">
        <f>IF(P46&lt;Param_1,Z46,A48*'Input data'!$B$25*COS(RADIANS('Input data'!$B$10)))</f>
        <v>17.083333333333339</v>
      </c>
      <c r="AA47">
        <f t="shared" si="10"/>
        <v>4.1000000000000014</v>
      </c>
      <c r="AB47">
        <f t="shared" si="11"/>
        <v>4.1000000000000014</v>
      </c>
      <c r="AC47">
        <f>IF(ROUND(A47*10,3)='Input data'!$B$14*10,M47,0)</f>
        <v>0</v>
      </c>
      <c r="AD47">
        <f>IF(ROUND(A47*10,3)='Input data'!$B$14*10,N47,0)</f>
        <v>0</v>
      </c>
      <c r="AE47">
        <f>IF(ROUND(A47*10,3)='Input data'!$B$14*10,P47,0)</f>
        <v>0</v>
      </c>
      <c r="AF47">
        <f>IF('Input data'!$B$26="C",IF((3.14159265*1860/4)*((0.001*'Input data'!$B$20)-(2*'Input data'!$B$28*A47))^2*((0.33333*0.001*'Input data'!$B$20)-(2*'Input data'!$B$28*A47))&lt;0,(3.14159265*1860/4)*((0.001*'Input data'!$B$20)-(2*'Input data'!$B$28*A47))^2*((0.33333*0.001*'Input data'!$B$20)-(2*'Input data'!$B$28*A47)),(3.14159265*1860/4)*((0.001*'Input data'!$B$20)-(2*'Input data'!$B$28*A47))^2*((0.33333*0.001*'Input data'!$B$20)-(2*'Input data'!$B$28*A47))),'Input data'!$B$21)</f>
        <v>0.40680208090393727</v>
      </c>
      <c r="AG47">
        <f t="shared" si="6"/>
        <v>0</v>
      </c>
      <c r="AH47">
        <f t="shared" si="7"/>
        <v>0</v>
      </c>
      <c r="AI47">
        <f t="shared" si="13"/>
        <v>0</v>
      </c>
      <c r="AJ47">
        <f t="shared" si="9"/>
        <v>3000</v>
      </c>
      <c r="AK47">
        <f>IF('Input data'!$B$26="S",'Input data'!$B$22,3.1415*(('Input data'!$B$20*0.0005)-('Input data'!$B$28*A47))^2)</f>
        <v>7.8539816250000026E-3</v>
      </c>
    </row>
    <row r="48" spans="1:37" x14ac:dyDescent="0.2">
      <c r="A48" s="9">
        <f>A47+'Input data'!$B$24</f>
        <v>4.1000000000000014</v>
      </c>
      <c r="B48">
        <f>B47+(J47*'Input data'!$B$24)</f>
        <v>6.5315234923133589</v>
      </c>
      <c r="C48">
        <f>C47+(K47*'Input data'!$B$24)</f>
        <v>0</v>
      </c>
      <c r="D48">
        <f>D47+(L47*'Input data'!$B$24)</f>
        <v>10.06428296344842</v>
      </c>
      <c r="E48">
        <f>IF('Input data'!$B$13=2,'Input data'!$B$25*((0.1036*LN(ABS(P47+1)))+0.8731),IF('Input data'!$B$13=3,'Input data'!$B$25*((0.139*LN(ABS(P47+1)))+0.7503),'Input data'!$B$25))</f>
        <v>5.881788830012626</v>
      </c>
      <c r="F48">
        <f>E48*COS(RADIANS('Input data'!$B$10))</f>
        <v>5.881788830012626</v>
      </c>
      <c r="G48">
        <f>E48*SIN(RADIANS('Input data'!$B$10))</f>
        <v>0</v>
      </c>
      <c r="H48">
        <f>1.22*EXP(-0.0001065*(P47+'Input data'!$B$12))</f>
        <v>1.1968431295715527</v>
      </c>
      <c r="I48">
        <f t="shared" si="1"/>
        <v>10.08523409246177</v>
      </c>
      <c r="J48">
        <f>-0.5*H48*I48*AK48*'Input data'!$B$19*(B48-F48)/AF48</f>
        <v>-3.816872488327186E-2</v>
      </c>
      <c r="K48">
        <f>-0.5*H48*I48*AK48*'Input data'!$B$19*(C48-G48)/AF48</f>
        <v>0</v>
      </c>
      <c r="L48">
        <f>(-0.5*H48*AK48*I48*'Input data'!$B$19*D48/AF48)-'Input data'!$B$23</f>
        <v>-10.396227265325519</v>
      </c>
      <c r="M48">
        <f>IF(AF48&gt;0,IF(P47&lt;=Param_1,M47,M47+(B49*'Input data'!$B$24)),M47)</f>
        <v>29.083769088687369</v>
      </c>
      <c r="N48">
        <f>IF(AF48&gt;0,IF(P47&lt;=Param_1,N47,N47+(C49*'Input data'!$B$24)),N47)</f>
        <v>0</v>
      </c>
      <c r="O48">
        <f t="shared" si="0"/>
        <v>0</v>
      </c>
      <c r="P48">
        <f>IF(P47&lt;=-100000,0,IF(AF48&gt;0,IF(P47&lt;Param_1,P47,P47+(D49*'Input data'!$B$24)),P47))</f>
        <v>180.84137444656179</v>
      </c>
      <c r="Q48">
        <f t="shared" si="2"/>
        <v>29.083769088687369</v>
      </c>
      <c r="T48">
        <f t="shared" si="3"/>
        <v>29.083769088687369</v>
      </c>
      <c r="U48">
        <f t="shared" si="4"/>
        <v>0</v>
      </c>
      <c r="V48" s="74">
        <f>IF(X48=0,'Input data'!$Q$22,Q48)</f>
        <v>29.083769088687369</v>
      </c>
      <c r="W48" s="74">
        <f>IF(U48=0,'Input data'!$Q$23,U48)</f>
        <v>0</v>
      </c>
      <c r="X48" s="74">
        <f t="shared" si="12"/>
        <v>180.84137444656179</v>
      </c>
      <c r="Y48">
        <f>IF(P47&lt;Param_1,Y47,A49*'Input data'!$B$25*SIN(RADIANS('Input data'!$B$10)))</f>
        <v>0</v>
      </c>
      <c r="Z48">
        <f>IF(P47&lt;Param_1,Z47,A49*'Input data'!$B$25*COS(RADIANS('Input data'!$B$10)))</f>
        <v>17.500000000000007</v>
      </c>
      <c r="AA48">
        <f t="shared" si="10"/>
        <v>4.2000000000000011</v>
      </c>
      <c r="AB48">
        <f t="shared" si="11"/>
        <v>4.2000000000000011</v>
      </c>
      <c r="AC48">
        <f>IF(ROUND(A48*10,3)='Input data'!$B$14*10,M48,0)</f>
        <v>0</v>
      </c>
      <c r="AD48">
        <f>IF(ROUND(A48*10,3)='Input data'!$B$14*10,N48,0)</f>
        <v>0</v>
      </c>
      <c r="AE48">
        <f>IF(ROUND(A48*10,3)='Input data'!$B$14*10,P48,0)</f>
        <v>0</v>
      </c>
      <c r="AF48">
        <f>IF('Input data'!$B$26="C",IF((3.14159265*1860/4)*((0.001*'Input data'!$B$20)-(2*'Input data'!$B$28*A48))^2*((0.33333*0.001*'Input data'!$B$20)-(2*'Input data'!$B$28*A48))&lt;0,(3.14159265*1860/4)*((0.001*'Input data'!$B$20)-(2*'Input data'!$B$28*A48))^2*((0.33333*0.001*'Input data'!$B$20)-(2*'Input data'!$B$28*A48)),(3.14159265*1860/4)*((0.001*'Input data'!$B$20)-(2*'Input data'!$B$28*A48))^2*((0.33333*0.001*'Input data'!$B$20)-(2*'Input data'!$B$28*A48))),'Input data'!$B$21)</f>
        <v>0.40680208090393727</v>
      </c>
      <c r="AG48">
        <f t="shared" si="6"/>
        <v>0</v>
      </c>
      <c r="AH48">
        <f t="shared" si="7"/>
        <v>0</v>
      </c>
      <c r="AI48">
        <f t="shared" si="13"/>
        <v>0</v>
      </c>
      <c r="AJ48">
        <f t="shared" si="9"/>
        <v>3000</v>
      </c>
      <c r="AK48">
        <f>IF('Input data'!$B$26="S",'Input data'!$B$22,3.1415*(('Input data'!$B$20*0.0005)-('Input data'!$B$28*A48))^2)</f>
        <v>7.8539816250000026E-3</v>
      </c>
    </row>
    <row r="49" spans="1:37" x14ac:dyDescent="0.2">
      <c r="A49" s="9">
        <f>A48+'Input data'!$B$24</f>
        <v>4.2000000000000011</v>
      </c>
      <c r="B49">
        <f>B48+(J48*'Input data'!$B$24)</f>
        <v>6.5277066198250315</v>
      </c>
      <c r="C49">
        <f>C48+(K48*'Input data'!$B$24)</f>
        <v>0</v>
      </c>
      <c r="D49">
        <f>D48+(L48*'Input data'!$B$24)</f>
        <v>9.0246602369158673</v>
      </c>
      <c r="E49">
        <f>IF('Input data'!$B$13=2,'Input data'!$B$25*((0.1036*LN(ABS(P48+1)))+0.8731),IF('Input data'!$B$13=3,'Input data'!$B$25*((0.139*LN(ABS(P48+1)))+0.7503),'Input data'!$B$25))</f>
        <v>5.8839364952646322</v>
      </c>
      <c r="F49">
        <f>E49*COS(RADIANS('Input data'!$B$10))</f>
        <v>5.8839364952646322</v>
      </c>
      <c r="G49">
        <f>E49*SIN(RADIANS('Input data'!$B$10))</f>
        <v>0</v>
      </c>
      <c r="H49">
        <f>1.22*EXP(-0.0001065*(P48+'Input data'!$B$12))</f>
        <v>1.1967281033566739</v>
      </c>
      <c r="I49">
        <f t="shared" si="1"/>
        <v>9.0475926281551207</v>
      </c>
      <c r="J49">
        <f>-0.5*H49*I49*AK49*'Input data'!$B$19*(B49-F49)/AF49</f>
        <v>-3.3924054120968723E-2</v>
      </c>
      <c r="K49">
        <f>-0.5*H49*I49*AK49*'Input data'!$B$19*(C49-G49)/AF49</f>
        <v>0</v>
      </c>
      <c r="L49">
        <f>(-0.5*H49*AK49*I49*'Input data'!$B$19*D49/AF49)-'Input data'!$B$23</f>
        <v>-10.280562705724416</v>
      </c>
      <c r="M49">
        <f>IF(AF49&gt;0,IF(P48&lt;=Param_1,M48,M48+(B50*'Input data'!$B$24)),M48)</f>
        <v>29.736200510128661</v>
      </c>
      <c r="N49">
        <f>IF(AF49&gt;0,IF(P48&lt;=Param_1,N48,N48+(C50*'Input data'!$B$24)),N48)</f>
        <v>0</v>
      </c>
      <c r="O49">
        <f t="shared" si="0"/>
        <v>0</v>
      </c>
      <c r="P49">
        <f>IF(P48&lt;=-100000,0,IF(AF49&gt;0,IF(P48&lt;Param_1,P48,P48+(D50*'Input data'!$B$24)),P48))</f>
        <v>181.64103484319614</v>
      </c>
      <c r="Q49">
        <f t="shared" si="2"/>
        <v>29.736200510128661</v>
      </c>
      <c r="T49">
        <f t="shared" si="3"/>
        <v>29.736200510128661</v>
      </c>
      <c r="U49">
        <f t="shared" si="4"/>
        <v>0</v>
      </c>
      <c r="V49" s="74">
        <f>IF(X49=0,'Input data'!$Q$22,Q49)</f>
        <v>29.736200510128661</v>
      </c>
      <c r="W49" s="74">
        <f>IF(U49=0,'Input data'!$Q$23,U49)</f>
        <v>0</v>
      </c>
      <c r="X49" s="74">
        <f t="shared" si="12"/>
        <v>181.64103484319614</v>
      </c>
      <c r="Y49">
        <f>IF(P48&lt;Param_1,Y48,A50*'Input data'!$B$25*SIN(RADIANS('Input data'!$B$10)))</f>
        <v>0</v>
      </c>
      <c r="Z49">
        <f>IF(P48&lt;Param_1,Z48,A50*'Input data'!$B$25*COS(RADIANS('Input data'!$B$10)))</f>
        <v>17.916666666666671</v>
      </c>
      <c r="AA49">
        <f t="shared" si="10"/>
        <v>4.3000000000000007</v>
      </c>
      <c r="AB49">
        <f t="shared" si="11"/>
        <v>4.3000000000000007</v>
      </c>
      <c r="AC49">
        <f>IF(ROUND(A49*10,3)='Input data'!$B$14*10,M49,0)</f>
        <v>0</v>
      </c>
      <c r="AD49">
        <f>IF(ROUND(A49*10,3)='Input data'!$B$14*10,N49,0)</f>
        <v>0</v>
      </c>
      <c r="AE49">
        <f>IF(ROUND(A49*10,3)='Input data'!$B$14*10,P49,0)</f>
        <v>0</v>
      </c>
      <c r="AF49">
        <f>IF('Input data'!$B$26="C",IF((3.14159265*1860/4)*((0.001*'Input data'!$B$20)-(2*'Input data'!$B$28*A49))^2*((0.33333*0.001*'Input data'!$B$20)-(2*'Input data'!$B$28*A49))&lt;0,(3.14159265*1860/4)*((0.001*'Input data'!$B$20)-(2*'Input data'!$B$28*A49))^2*((0.33333*0.001*'Input data'!$B$20)-(2*'Input data'!$B$28*A49)),(3.14159265*1860/4)*((0.001*'Input data'!$B$20)-(2*'Input data'!$B$28*A49))^2*((0.33333*0.001*'Input data'!$B$20)-(2*'Input data'!$B$28*A49))),'Input data'!$B$21)</f>
        <v>0.40680208090393727</v>
      </c>
      <c r="AG49">
        <f t="shared" si="6"/>
        <v>0</v>
      </c>
      <c r="AH49">
        <f t="shared" si="7"/>
        <v>0</v>
      </c>
      <c r="AI49">
        <f t="shared" si="13"/>
        <v>0</v>
      </c>
      <c r="AJ49">
        <f t="shared" si="9"/>
        <v>3000</v>
      </c>
      <c r="AK49">
        <f>IF('Input data'!$B$26="S",'Input data'!$B$22,3.1415*(('Input data'!$B$20*0.0005)-('Input data'!$B$28*A49))^2)</f>
        <v>7.8539816250000026E-3</v>
      </c>
    </row>
    <row r="50" spans="1:37" x14ac:dyDescent="0.2">
      <c r="A50" s="9">
        <f>A49+'Input data'!$B$24</f>
        <v>4.3000000000000007</v>
      </c>
      <c r="B50">
        <f>B49+(J49*'Input data'!$B$24)</f>
        <v>6.5243142144129349</v>
      </c>
      <c r="C50">
        <f>C49+(K49*'Input data'!$B$24)</f>
        <v>0</v>
      </c>
      <c r="D50">
        <f>D49+(L49*'Input data'!$B$24)</f>
        <v>7.9966039663434252</v>
      </c>
      <c r="E50">
        <f>IF('Input data'!$B$13=2,'Input data'!$B$25*((0.1036*LN(ABS(P49+1)))+0.8731),IF('Input data'!$B$13=3,'Input data'!$B$25*((0.139*LN(ABS(P49+1)))+0.7503),'Input data'!$B$25))</f>
        <v>5.885830618453749</v>
      </c>
      <c r="F50">
        <f>E50*COS(RADIANS('Input data'!$B$10))</f>
        <v>5.885830618453749</v>
      </c>
      <c r="G50">
        <f>E50*SIN(RADIANS('Input data'!$B$10))</f>
        <v>0</v>
      </c>
      <c r="H50">
        <f>1.22*EXP(-0.0001065*(P49+'Input data'!$B$12))</f>
        <v>1.1966261897449793</v>
      </c>
      <c r="I50">
        <f t="shared" si="1"/>
        <v>8.0220531222903517</v>
      </c>
      <c r="J50">
        <f>-0.5*H50*I50*AK50*'Input data'!$B$19*(B50-F50)/AF50</f>
        <v>-2.9829239559027953E-2</v>
      </c>
      <c r="K50">
        <f>-0.5*H50*I50*AK50*'Input data'!$B$19*(C50-G50)/AF50</f>
        <v>0</v>
      </c>
      <c r="L50">
        <f>(-0.5*H50*AK50*I50*'Input data'!$B$19*D50/AF50)-'Input data'!$B$23</f>
        <v>-10.178592394354919</v>
      </c>
      <c r="M50">
        <f>IF(AF50&gt;0,IF(P49&lt;=Param_1,M49,M49+(B51*'Input data'!$B$24)),M49)</f>
        <v>30.388333639174366</v>
      </c>
      <c r="N50">
        <f>IF(AF50&gt;0,IF(P49&lt;=Param_1,N49,N49+(C51*'Input data'!$B$24)),N49)</f>
        <v>0</v>
      </c>
      <c r="O50">
        <f t="shared" si="0"/>
        <v>0</v>
      </c>
      <c r="P50">
        <f>IF(P49&lt;=-100000,0,IF(AF50&gt;0,IF(P49&lt;Param_1,P49,P49+(D51*'Input data'!$B$24)),P49))</f>
        <v>182.33890931588692</v>
      </c>
      <c r="Q50">
        <f t="shared" si="2"/>
        <v>30.388333639174366</v>
      </c>
      <c r="T50">
        <f t="shared" si="3"/>
        <v>30.388333639174366</v>
      </c>
      <c r="U50">
        <f t="shared" si="4"/>
        <v>0</v>
      </c>
      <c r="V50" s="74">
        <f>IF(X50=0,'Input data'!$Q$22,Q50)</f>
        <v>30.388333639174366</v>
      </c>
      <c r="W50" s="74">
        <f>IF(U50=0,'Input data'!$Q$23,U50)</f>
        <v>0</v>
      </c>
      <c r="X50" s="74">
        <f t="shared" si="12"/>
        <v>182.33890931588692</v>
      </c>
      <c r="Y50">
        <f>IF(P49&lt;Param_1,Y49,A51*'Input data'!$B$25*SIN(RADIANS('Input data'!$B$10)))</f>
        <v>0</v>
      </c>
      <c r="Z50">
        <f>IF(P49&lt;Param_1,Z49,A51*'Input data'!$B$25*COS(RADIANS('Input data'!$B$10)))</f>
        <v>18.333333333333336</v>
      </c>
      <c r="AA50">
        <f t="shared" si="10"/>
        <v>4.4000000000000004</v>
      </c>
      <c r="AB50">
        <f t="shared" si="11"/>
        <v>4.4000000000000004</v>
      </c>
      <c r="AC50">
        <f>IF(ROUND(A50*10,3)='Input data'!$B$14*10,M50,0)</f>
        <v>0</v>
      </c>
      <c r="AD50">
        <f>IF(ROUND(A50*10,3)='Input data'!$B$14*10,N50,0)</f>
        <v>0</v>
      </c>
      <c r="AE50">
        <f>IF(ROUND(A50*10,3)='Input data'!$B$14*10,P50,0)</f>
        <v>0</v>
      </c>
      <c r="AF50">
        <f>IF('Input data'!$B$26="C",IF((3.14159265*1860/4)*((0.001*'Input data'!$B$20)-(2*'Input data'!$B$28*A50))^2*((0.33333*0.001*'Input data'!$B$20)-(2*'Input data'!$B$28*A50))&lt;0,(3.14159265*1860/4)*((0.001*'Input data'!$B$20)-(2*'Input data'!$B$28*A50))^2*((0.33333*0.001*'Input data'!$B$20)-(2*'Input data'!$B$28*A50)),(3.14159265*1860/4)*((0.001*'Input data'!$B$20)-(2*'Input data'!$B$28*A50))^2*((0.33333*0.001*'Input data'!$B$20)-(2*'Input data'!$B$28*A50))),'Input data'!$B$21)</f>
        <v>0.40680208090393727</v>
      </c>
      <c r="AG50">
        <f t="shared" si="6"/>
        <v>0</v>
      </c>
      <c r="AH50">
        <f t="shared" si="7"/>
        <v>0</v>
      </c>
      <c r="AI50">
        <f t="shared" si="13"/>
        <v>0</v>
      </c>
      <c r="AJ50">
        <f t="shared" si="9"/>
        <v>3000</v>
      </c>
      <c r="AK50">
        <f>IF('Input data'!$B$26="S",'Input data'!$B$22,3.1415*(('Input data'!$B$20*0.0005)-('Input data'!$B$28*A50))^2)</f>
        <v>7.8539816250000026E-3</v>
      </c>
    </row>
    <row r="51" spans="1:37" x14ac:dyDescent="0.2">
      <c r="A51" s="9">
        <f>A50+'Input data'!$B$24</f>
        <v>4.4000000000000004</v>
      </c>
      <c r="B51">
        <f>B50+(J50*'Input data'!$B$24)</f>
        <v>6.5213312904570317</v>
      </c>
      <c r="C51">
        <f>C50+(K50*'Input data'!$B$24)</f>
        <v>0</v>
      </c>
      <c r="D51">
        <f>D50+(L50*'Input data'!$B$24)</f>
        <v>6.9787447269079337</v>
      </c>
      <c r="E51">
        <f>IF('Input data'!$B$13=2,'Input data'!$B$25*((0.1036*LN(ABS(P50+1)))+0.8731),IF('Input data'!$B$13=3,'Input data'!$B$25*((0.139*LN(ABS(P50+1)))+0.7503),'Input data'!$B$25))</f>
        <v>5.8874768808641047</v>
      </c>
      <c r="F51">
        <f>E51*COS(RADIANS('Input data'!$B$10))</f>
        <v>5.8874768808641047</v>
      </c>
      <c r="G51">
        <f>E51*SIN(RADIANS('Input data'!$B$10))</f>
        <v>0</v>
      </c>
      <c r="H51">
        <f>1.22*EXP(-0.0001065*(P50+'Input data'!$B$12))</f>
        <v>1.1965372554461999</v>
      </c>
      <c r="I51">
        <f t="shared" si="1"/>
        <v>7.0074709686095513</v>
      </c>
      <c r="J51">
        <f>-0.5*H51*I51*AK51*'Input data'!$B$19*(B51-F51)/AF51</f>
        <v>-2.5865772261674556E-2</v>
      </c>
      <c r="K51">
        <f>-0.5*H51*I51*AK51*'Input data'!$B$19*(C51-G51)/AF51</f>
        <v>0</v>
      </c>
      <c r="L51">
        <f>(-0.5*H51*AK51*I51*'Input data'!$B$19*D51/AF51)-'Input data'!$B$23</f>
        <v>-10.089782465889115</v>
      </c>
      <c r="M51">
        <f>IF(AF51&gt;0,IF(P50&lt;=Param_1,M50,M50+(B52*'Input data'!$B$24)),M50)</f>
        <v>31.040208110497453</v>
      </c>
      <c r="N51">
        <f>IF(AF51&gt;0,IF(P50&lt;=Param_1,N50,N50+(C52*'Input data'!$B$24)),N50)</f>
        <v>0</v>
      </c>
      <c r="O51">
        <f t="shared" si="0"/>
        <v>0</v>
      </c>
      <c r="P51">
        <f>IF(P50&lt;=-100000,0,IF(AF51&gt;0,IF(P50&lt;Param_1,P50,P50+(D52*'Input data'!$B$24)),P50))</f>
        <v>182.93588596391882</v>
      </c>
      <c r="Q51">
        <f t="shared" si="2"/>
        <v>31.040208110497453</v>
      </c>
      <c r="T51">
        <f t="shared" si="3"/>
        <v>31.040208110497453</v>
      </c>
      <c r="U51">
        <f t="shared" si="4"/>
        <v>0</v>
      </c>
      <c r="V51" s="74">
        <f>IF(X51=0,'Input data'!$Q$22,Q51)</f>
        <v>31.040208110497453</v>
      </c>
      <c r="W51" s="74">
        <f>IF(U51=0,'Input data'!$Q$23,U51)</f>
        <v>0</v>
      </c>
      <c r="X51" s="74">
        <f t="shared" si="12"/>
        <v>182.93588596391882</v>
      </c>
      <c r="Y51">
        <f>IF(P50&lt;Param_1,Y50,A52*'Input data'!$B$25*SIN(RADIANS('Input data'!$B$10)))</f>
        <v>0</v>
      </c>
      <c r="Z51">
        <f>IF(P50&lt;Param_1,Z50,A52*'Input data'!$B$25*COS(RADIANS('Input data'!$B$10)))</f>
        <v>18.75</v>
      </c>
      <c r="AA51">
        <f t="shared" si="10"/>
        <v>4.5</v>
      </c>
      <c r="AB51">
        <f t="shared" si="11"/>
        <v>4.5</v>
      </c>
      <c r="AC51">
        <f>IF(ROUND(A51*10,3)='Input data'!$B$14*10,M51,0)</f>
        <v>0</v>
      </c>
      <c r="AD51">
        <f>IF(ROUND(A51*10,3)='Input data'!$B$14*10,N51,0)</f>
        <v>0</v>
      </c>
      <c r="AE51">
        <f>IF(ROUND(A51*10,3)='Input data'!$B$14*10,P51,0)</f>
        <v>0</v>
      </c>
      <c r="AF51">
        <f>IF('Input data'!$B$26="C",IF((3.14159265*1860/4)*((0.001*'Input data'!$B$20)-(2*'Input data'!$B$28*A51))^2*((0.33333*0.001*'Input data'!$B$20)-(2*'Input data'!$B$28*A51))&lt;0,(3.14159265*1860/4)*((0.001*'Input data'!$B$20)-(2*'Input data'!$B$28*A51))^2*((0.33333*0.001*'Input data'!$B$20)-(2*'Input data'!$B$28*A51)),(3.14159265*1860/4)*((0.001*'Input data'!$B$20)-(2*'Input data'!$B$28*A51))^2*((0.33333*0.001*'Input data'!$B$20)-(2*'Input data'!$B$28*A51))),'Input data'!$B$21)</f>
        <v>0.40680208090393727</v>
      </c>
      <c r="AG51">
        <f t="shared" si="6"/>
        <v>0</v>
      </c>
      <c r="AH51">
        <f t="shared" si="7"/>
        <v>0</v>
      </c>
      <c r="AI51">
        <f t="shared" si="13"/>
        <v>0</v>
      </c>
      <c r="AJ51">
        <f t="shared" si="9"/>
        <v>3000</v>
      </c>
      <c r="AK51">
        <f>IF('Input data'!$B$26="S",'Input data'!$B$22,3.1415*(('Input data'!$B$20*0.0005)-('Input data'!$B$28*A51))^2)</f>
        <v>7.8539816250000026E-3</v>
      </c>
    </row>
    <row r="52" spans="1:37" x14ac:dyDescent="0.2">
      <c r="A52" s="9">
        <f>A51+'Input data'!$B$24</f>
        <v>4.5</v>
      </c>
      <c r="B52">
        <f>B51+(J51*'Input data'!$B$24)</f>
        <v>6.5187447132308645</v>
      </c>
      <c r="C52">
        <f>C51+(K51*'Input data'!$B$24)</f>
        <v>0</v>
      </c>
      <c r="D52">
        <f>D51+(L51*'Input data'!$B$24)</f>
        <v>5.9697664803190218</v>
      </c>
      <c r="E52">
        <f>IF('Input data'!$B$13=2,'Input data'!$B$25*((0.1036*LN(ABS(P51+1)))+0.8731),IF('Input data'!$B$13=3,'Input data'!$B$25*((0.139*LN(ABS(P51+1)))+0.7503),'Input data'!$B$25))</f>
        <v>5.8888801633653234</v>
      </c>
      <c r="F52">
        <f>E52*COS(RADIANS('Input data'!$B$10))</f>
        <v>5.8888801633653234</v>
      </c>
      <c r="G52">
        <f>E52*SIN(RADIANS('Input data'!$B$10))</f>
        <v>0</v>
      </c>
      <c r="H52">
        <f>1.22*EXP(-0.0001065*(P51+'Input data'!$B$12))</f>
        <v>1.1964611844032482</v>
      </c>
      <c r="I52">
        <f t="shared" si="1"/>
        <v>6.0029027295732424</v>
      </c>
      <c r="J52">
        <f>-0.5*H52*I52*AK52*'Input data'!$B$19*(B52-F52)/AF52</f>
        <v>-2.2016865374810585E-2</v>
      </c>
      <c r="K52">
        <f>-0.5*H52*I52*AK52*'Input data'!$B$19*(C52-G52)/AF52</f>
        <v>0</v>
      </c>
      <c r="L52">
        <f>(-0.5*H52*AK52*I52*'Input data'!$B$19*D52/AF52)-'Input data'!$B$23</f>
        <v>-10.01367271375139</v>
      </c>
      <c r="M52">
        <f>IF(AF52&gt;0,IF(P51&lt;=Param_1,M51,M51+(B53*'Input data'!$B$24)),M51)</f>
        <v>31.691862413166792</v>
      </c>
      <c r="N52">
        <f>IF(AF52&gt;0,IF(P51&lt;=Param_1,N51,N51+(C53*'Input data'!$B$24)),N51)</f>
        <v>0</v>
      </c>
      <c r="O52">
        <f t="shared" si="0"/>
        <v>0</v>
      </c>
      <c r="P52">
        <f>IF(P51&lt;=-100000,0,IF(AF52&gt;0,IF(P51&lt;Param_1,P51,P51+(D53*'Input data'!$B$24)),P51))</f>
        <v>183.43272588481321</v>
      </c>
      <c r="Q52">
        <f t="shared" si="2"/>
        <v>31.691862413166792</v>
      </c>
      <c r="T52">
        <f t="shared" si="3"/>
        <v>31.691862413166792</v>
      </c>
      <c r="U52">
        <f t="shared" si="4"/>
        <v>0</v>
      </c>
      <c r="V52" s="74">
        <f>IF(X52=0,'Input data'!$Q$22,Q52)</f>
        <v>31.691862413166792</v>
      </c>
      <c r="W52" s="74">
        <f>IF(U52=0,'Input data'!$Q$23,U52)</f>
        <v>0</v>
      </c>
      <c r="X52" s="74">
        <f t="shared" si="12"/>
        <v>183.43272588481321</v>
      </c>
      <c r="Y52">
        <f>IF(P51&lt;Param_1,Y51,A53*'Input data'!$B$25*SIN(RADIANS('Input data'!$B$10)))</f>
        <v>0</v>
      </c>
      <c r="Z52">
        <f>IF(P51&lt;Param_1,Z51,A53*'Input data'!$B$25*COS(RADIANS('Input data'!$B$10)))</f>
        <v>19.166666666666668</v>
      </c>
      <c r="AA52">
        <f t="shared" si="10"/>
        <v>4.5999999999999996</v>
      </c>
      <c r="AB52">
        <f t="shared" si="11"/>
        <v>4.5999999999999996</v>
      </c>
      <c r="AC52">
        <f>IF(ROUND(A52*10,3)='Input data'!$B$14*10,M52,0)</f>
        <v>0</v>
      </c>
      <c r="AD52">
        <f>IF(ROUND(A52*10,3)='Input data'!$B$14*10,N52,0)</f>
        <v>0</v>
      </c>
      <c r="AE52">
        <f>IF(ROUND(A52*10,3)='Input data'!$B$14*10,P52,0)</f>
        <v>0</v>
      </c>
      <c r="AF52">
        <f>IF('Input data'!$B$26="C",IF((3.14159265*1860/4)*((0.001*'Input data'!$B$20)-(2*'Input data'!$B$28*A52))^2*((0.33333*0.001*'Input data'!$B$20)-(2*'Input data'!$B$28*A52))&lt;0,(3.14159265*1860/4)*((0.001*'Input data'!$B$20)-(2*'Input data'!$B$28*A52))^2*((0.33333*0.001*'Input data'!$B$20)-(2*'Input data'!$B$28*A52)),(3.14159265*1860/4)*((0.001*'Input data'!$B$20)-(2*'Input data'!$B$28*A52))^2*((0.33333*0.001*'Input data'!$B$20)-(2*'Input data'!$B$28*A52))),'Input data'!$B$21)</f>
        <v>0.40680208090393727</v>
      </c>
      <c r="AG52">
        <f t="shared" si="6"/>
        <v>0</v>
      </c>
      <c r="AH52">
        <f t="shared" si="7"/>
        <v>0</v>
      </c>
      <c r="AI52">
        <f t="shared" si="13"/>
        <v>0</v>
      </c>
      <c r="AJ52">
        <f t="shared" si="9"/>
        <v>3000</v>
      </c>
      <c r="AK52">
        <f>IF('Input data'!$B$26="S",'Input data'!$B$22,3.1415*(('Input data'!$B$20*0.0005)-('Input data'!$B$28*A52))^2)</f>
        <v>7.8539816250000026E-3</v>
      </c>
    </row>
    <row r="53" spans="1:37" x14ac:dyDescent="0.2">
      <c r="A53" s="9">
        <f>A52+'Input data'!$B$24</f>
        <v>4.5999999999999996</v>
      </c>
      <c r="B53">
        <f>B52+(J52*'Input data'!$B$24)</f>
        <v>6.516543026693383</v>
      </c>
      <c r="C53">
        <f>C52+(K52*'Input data'!$B$24)</f>
        <v>0</v>
      </c>
      <c r="D53">
        <f>D52+(L52*'Input data'!$B$24)</f>
        <v>4.9683992089438824</v>
      </c>
      <c r="E53">
        <f>IF('Input data'!$B$13=2,'Input data'!$B$25*((0.1036*LN(ABS(P52+1)))+0.8731),IF('Input data'!$B$13=3,'Input data'!$B$25*((0.139*LN(ABS(P52+1)))+0.7503),'Input data'!$B$25))</f>
        <v>5.890044591363103</v>
      </c>
      <c r="F53">
        <f>E53*COS(RADIANS('Input data'!$B$10))</f>
        <v>5.890044591363103</v>
      </c>
      <c r="G53">
        <f>E53*SIN(RADIANS('Input data'!$B$10))</f>
        <v>0</v>
      </c>
      <c r="H53">
        <f>1.22*EXP(-0.0001065*(P52+'Input data'!$B$12))</f>
        <v>1.1963978771872221</v>
      </c>
      <c r="I53">
        <f t="shared" si="1"/>
        <v>5.0077431033256374</v>
      </c>
      <c r="J53">
        <f>-0.5*H53*I53*AK53*'Input data'!$B$19*(B53-F53)/AF53</f>
        <v>-1.8267792373587773E-2</v>
      </c>
      <c r="K53">
        <f>-0.5*H53*I53*AK53*'Input data'!$B$19*(C53-G53)/AF53</f>
        <v>0</v>
      </c>
      <c r="L53">
        <f>(-0.5*H53*AK53*I53*'Input data'!$B$19*D53/AF53)-'Input data'!$B$23</f>
        <v>-9.9498713676838424</v>
      </c>
      <c r="M53">
        <f>IF(AF53&gt;0,IF(P52&lt;=Param_1,M52,M52+(B54*'Input data'!$B$24)),M52)</f>
        <v>32.343334037912392</v>
      </c>
      <c r="N53">
        <f>IF(AF53&gt;0,IF(P52&lt;=Param_1,N52,N52+(C54*'Input data'!$B$24)),N52)</f>
        <v>0</v>
      </c>
      <c r="O53">
        <f t="shared" si="0"/>
        <v>0</v>
      </c>
      <c r="P53">
        <f>IF(P52&lt;=-100000,0,IF(AF53&gt;0,IF(P52&lt;Param_1,P52,P52+(D54*'Input data'!$B$24)),P52))</f>
        <v>183.83006709203076</v>
      </c>
      <c r="Q53">
        <f t="shared" si="2"/>
        <v>32.343334037912392</v>
      </c>
      <c r="T53">
        <f t="shared" si="3"/>
        <v>32.343334037912392</v>
      </c>
      <c r="U53">
        <f t="shared" si="4"/>
        <v>0</v>
      </c>
      <c r="V53" s="74">
        <f>IF(X53=0,'Input data'!$Q$22,Q53)</f>
        <v>32.343334037912392</v>
      </c>
      <c r="W53" s="74">
        <f>IF(U53=0,'Input data'!$Q$23,U53)</f>
        <v>0</v>
      </c>
      <c r="X53" s="74">
        <f t="shared" si="12"/>
        <v>183.83006709203076</v>
      </c>
      <c r="Y53">
        <f>IF(P52&lt;Param_1,Y52,A54*'Input data'!$B$25*SIN(RADIANS('Input data'!$B$10)))</f>
        <v>0</v>
      </c>
      <c r="Z53">
        <f>IF(P52&lt;Param_1,Z52,A54*'Input data'!$B$25*COS(RADIANS('Input data'!$B$10)))</f>
        <v>19.583333333333332</v>
      </c>
      <c r="AA53">
        <f t="shared" si="10"/>
        <v>4.6999999999999993</v>
      </c>
      <c r="AB53">
        <f t="shared" si="11"/>
        <v>4.6999999999999993</v>
      </c>
      <c r="AC53">
        <f>IF(ROUND(A53*10,3)='Input data'!$B$14*10,M53,0)</f>
        <v>0</v>
      </c>
      <c r="AD53">
        <f>IF(ROUND(A53*10,3)='Input data'!$B$14*10,N53,0)</f>
        <v>0</v>
      </c>
      <c r="AE53">
        <f>IF(ROUND(A53*10,3)='Input data'!$B$14*10,P53,0)</f>
        <v>0</v>
      </c>
      <c r="AF53">
        <f>IF('Input data'!$B$26="C",IF((3.14159265*1860/4)*((0.001*'Input data'!$B$20)-(2*'Input data'!$B$28*A53))^2*((0.33333*0.001*'Input data'!$B$20)-(2*'Input data'!$B$28*A53))&lt;0,(3.14159265*1860/4)*((0.001*'Input data'!$B$20)-(2*'Input data'!$B$28*A53))^2*((0.33333*0.001*'Input data'!$B$20)-(2*'Input data'!$B$28*A53)),(3.14159265*1860/4)*((0.001*'Input data'!$B$20)-(2*'Input data'!$B$28*A53))^2*((0.33333*0.001*'Input data'!$B$20)-(2*'Input data'!$B$28*A53))),'Input data'!$B$21)</f>
        <v>0.40680208090393727</v>
      </c>
      <c r="AG53">
        <f t="shared" si="6"/>
        <v>0</v>
      </c>
      <c r="AH53">
        <f t="shared" si="7"/>
        <v>0</v>
      </c>
      <c r="AI53">
        <f t="shared" si="13"/>
        <v>0</v>
      </c>
      <c r="AJ53">
        <f t="shared" si="9"/>
        <v>3000</v>
      </c>
      <c r="AK53">
        <f>IF('Input data'!$B$26="S",'Input data'!$B$22,3.1415*(('Input data'!$B$20*0.0005)-('Input data'!$B$28*A53))^2)</f>
        <v>7.8539816250000026E-3</v>
      </c>
    </row>
    <row r="54" spans="1:37" x14ac:dyDescent="0.2">
      <c r="A54" s="9">
        <f>A53+'Input data'!$B$24</f>
        <v>4.6999999999999993</v>
      </c>
      <c r="B54">
        <f>B53+(J53*'Input data'!$B$24)</f>
        <v>6.5147162474560245</v>
      </c>
      <c r="C54">
        <f>C53+(K53*'Input data'!$B$24)</f>
        <v>0</v>
      </c>
      <c r="D54">
        <f>D53+(L53*'Input data'!$B$24)</f>
        <v>3.9734120721754982</v>
      </c>
      <c r="E54">
        <f>IF('Input data'!$B$13=2,'Input data'!$B$25*((0.1036*LN(ABS(P53+1)))+0.8731),IF('Input data'!$B$13=3,'Input data'!$B$25*((0.139*LN(ABS(P53+1)))+0.7503),'Input data'!$B$25))</f>
        <v>5.8909735721535279</v>
      </c>
      <c r="F54">
        <f>E54*COS(RADIANS('Input data'!$B$10))</f>
        <v>5.8909735721535279</v>
      </c>
      <c r="G54">
        <f>E54*SIN(RADIANS('Input data'!$B$10))</f>
        <v>0</v>
      </c>
      <c r="H54">
        <f>1.22*EXP(-0.0001065*(P53+'Input data'!$B$12))</f>
        <v>1.1963472504825778</v>
      </c>
      <c r="I54">
        <f t="shared" si="1"/>
        <v>4.022071409150203</v>
      </c>
      <c r="J54">
        <f>-0.5*H54*I54*AK54*'Input data'!$B$19*(B54-F54)/AF54</f>
        <v>-1.4606995394670327E-2</v>
      </c>
      <c r="K54">
        <f>-0.5*H54*I54*AK54*'Input data'!$B$19*(C54-G54)/AF54</f>
        <v>0</v>
      </c>
      <c r="L54">
        <f>(-0.5*H54*AK54*I54*'Input data'!$B$19*D54/AF54)-'Input data'!$B$23</f>
        <v>-9.8980505705918667</v>
      </c>
      <c r="M54">
        <f>IF(AF54&gt;0,IF(P53&lt;=Param_1,M53,M53+(B55*'Input data'!$B$24)),M53)</f>
        <v>32.994659592704046</v>
      </c>
      <c r="N54">
        <f>IF(AF54&gt;0,IF(P53&lt;=Param_1,N53,N53+(C55*'Input data'!$B$24)),N53)</f>
        <v>0</v>
      </c>
      <c r="O54">
        <f t="shared" si="0"/>
        <v>0</v>
      </c>
      <c r="P54">
        <f>IF(P53&lt;=-100000,0,IF(AF54&gt;0,IF(P53&lt;Param_1,P53,P53+(D55*'Input data'!$B$24)),P53))</f>
        <v>184.12842779354239</v>
      </c>
      <c r="Q54">
        <f t="shared" si="2"/>
        <v>32.994659592704046</v>
      </c>
      <c r="T54">
        <f t="shared" si="3"/>
        <v>32.994659592704046</v>
      </c>
      <c r="U54">
        <f t="shared" si="4"/>
        <v>0</v>
      </c>
      <c r="V54" s="74">
        <f>IF(X54=0,'Input data'!$Q$22,Q54)</f>
        <v>32.994659592704046</v>
      </c>
      <c r="W54" s="74">
        <f>IF(U54=0,'Input data'!$Q$23,U54)</f>
        <v>0</v>
      </c>
      <c r="X54" s="74">
        <f t="shared" si="12"/>
        <v>184.12842779354239</v>
      </c>
      <c r="Y54">
        <f>IF(P53&lt;Param_1,Y53,A55*'Input data'!$B$25*SIN(RADIANS('Input data'!$B$10)))</f>
        <v>0</v>
      </c>
      <c r="Z54">
        <f>IF(P53&lt;Param_1,Z53,A55*'Input data'!$B$25*COS(RADIANS('Input data'!$B$10)))</f>
        <v>19.999999999999996</v>
      </c>
      <c r="AA54">
        <f t="shared" si="10"/>
        <v>4.7999999999999989</v>
      </c>
      <c r="AB54">
        <f t="shared" si="11"/>
        <v>4.7999999999999989</v>
      </c>
      <c r="AC54">
        <f>IF(ROUND(A54*10,3)='Input data'!$B$14*10,M54,0)</f>
        <v>0</v>
      </c>
      <c r="AD54">
        <f>IF(ROUND(A54*10,3)='Input data'!$B$14*10,N54,0)</f>
        <v>0</v>
      </c>
      <c r="AE54">
        <f>IF(ROUND(A54*10,3)='Input data'!$B$14*10,P54,0)</f>
        <v>0</v>
      </c>
      <c r="AF54">
        <f>IF('Input data'!$B$26="C",IF((3.14159265*1860/4)*((0.001*'Input data'!$B$20)-(2*'Input data'!$B$28*A54))^2*((0.33333*0.001*'Input data'!$B$20)-(2*'Input data'!$B$28*A54))&lt;0,(3.14159265*1860/4)*((0.001*'Input data'!$B$20)-(2*'Input data'!$B$28*A54))^2*((0.33333*0.001*'Input data'!$B$20)-(2*'Input data'!$B$28*A54)),(3.14159265*1860/4)*((0.001*'Input data'!$B$20)-(2*'Input data'!$B$28*A54))^2*((0.33333*0.001*'Input data'!$B$20)-(2*'Input data'!$B$28*A54))),'Input data'!$B$21)</f>
        <v>0.40680208090393727</v>
      </c>
      <c r="AG54">
        <f t="shared" si="6"/>
        <v>0</v>
      </c>
      <c r="AH54">
        <f t="shared" si="7"/>
        <v>0</v>
      </c>
      <c r="AI54">
        <f t="shared" si="13"/>
        <v>0</v>
      </c>
      <c r="AJ54">
        <f t="shared" si="9"/>
        <v>3000</v>
      </c>
      <c r="AK54">
        <f>IF('Input data'!$B$26="S",'Input data'!$B$22,3.1415*(('Input data'!$B$20*0.0005)-('Input data'!$B$28*A54))^2)</f>
        <v>7.8539816250000026E-3</v>
      </c>
    </row>
    <row r="55" spans="1:37" x14ac:dyDescent="0.2">
      <c r="A55" s="9">
        <f>A54+'Input data'!$B$24</f>
        <v>4.7999999999999989</v>
      </c>
      <c r="B55">
        <f>B54+(J54*'Input data'!$B$24)</f>
        <v>6.5132555479165575</v>
      </c>
      <c r="C55">
        <f>C54+(K54*'Input data'!$B$24)</f>
        <v>0</v>
      </c>
      <c r="D55">
        <f>D54+(L54*'Input data'!$B$24)</f>
        <v>2.9836070151163114</v>
      </c>
      <c r="E55">
        <f>IF('Input data'!$B$13=2,'Input data'!$B$25*((0.1036*LN(ABS(P54+1)))+0.8731),IF('Input data'!$B$13=3,'Input data'!$B$25*((0.139*LN(ABS(P54+1)))+0.7503),'Input data'!$B$25))</f>
        <v>5.8916698253775426</v>
      </c>
      <c r="F55">
        <f>E55*COS(RADIANS('Input data'!$B$10))</f>
        <v>5.8916698253775426</v>
      </c>
      <c r="G55">
        <f>E55*SIN(RADIANS('Input data'!$B$10))</f>
        <v>0</v>
      </c>
      <c r="H55">
        <f>1.22*EXP(-0.0001065*(P54+'Input data'!$B$12))</f>
        <v>1.1963092366565111</v>
      </c>
      <c r="I55">
        <f t="shared" si="1"/>
        <v>3.0476679003978786</v>
      </c>
      <c r="J55">
        <f>-0.5*H55*I55*AK55*'Input data'!$B$19*(B55-F55)/AF55</f>
        <v>-1.1029619441879111E-2</v>
      </c>
      <c r="K55">
        <f>-0.5*H55*I55*AK55*'Input data'!$B$19*(C55-G55)/AF55</f>
        <v>0</v>
      </c>
      <c r="L55">
        <f>(-0.5*H55*AK55*I55*'Input data'!$B$19*D55/AF55)-'Input data'!$B$23</f>
        <v>-9.8579420943042777</v>
      </c>
      <c r="M55">
        <f>IF(AF55&gt;0,IF(P54&lt;=Param_1,M54,M54+(B56*'Input data'!$B$24)),M54)</f>
        <v>33.645874851301286</v>
      </c>
      <c r="N55">
        <f>IF(AF55&gt;0,IF(P54&lt;=Param_1,N54,N54+(C56*'Input data'!$B$24)),N54)</f>
        <v>0</v>
      </c>
      <c r="O55">
        <f t="shared" si="0"/>
        <v>0</v>
      </c>
      <c r="P55">
        <f>IF(P54&lt;=-100000,0,IF(AF55&gt;0,IF(P54&lt;Param_1,P54,P54+(D56*'Input data'!$B$24)),P54))</f>
        <v>184.32820907411099</v>
      </c>
      <c r="Q55">
        <f t="shared" si="2"/>
        <v>33.645874851301286</v>
      </c>
      <c r="T55">
        <f t="shared" si="3"/>
        <v>33.645874851301286</v>
      </c>
      <c r="U55">
        <f t="shared" si="4"/>
        <v>0</v>
      </c>
      <c r="V55" s="74">
        <f>IF(X55=0,'Input data'!$Q$22,Q55)</f>
        <v>33.645874851301286</v>
      </c>
      <c r="W55" s="74">
        <f>IF(U55=0,'Input data'!$Q$23,U55)</f>
        <v>0</v>
      </c>
      <c r="X55" s="74">
        <f t="shared" si="12"/>
        <v>184.32820907411099</v>
      </c>
      <c r="Y55">
        <f>IF(P54&lt;Param_1,Y54,A56*'Input data'!$B$25*SIN(RADIANS('Input data'!$B$10)))</f>
        <v>0</v>
      </c>
      <c r="Z55">
        <f>IF(P54&lt;Param_1,Z54,A56*'Input data'!$B$25*COS(RADIANS('Input data'!$B$10)))</f>
        <v>20.416666666666661</v>
      </c>
      <c r="AA55">
        <f t="shared" si="10"/>
        <v>4.8999999999999986</v>
      </c>
      <c r="AB55">
        <f t="shared" si="11"/>
        <v>4.8999999999999986</v>
      </c>
      <c r="AC55">
        <f>IF(ROUND(A55*10,3)='Input data'!$B$14*10,M55,0)</f>
        <v>0</v>
      </c>
      <c r="AD55">
        <f>IF(ROUND(A55*10,3)='Input data'!$B$14*10,N55,0)</f>
        <v>0</v>
      </c>
      <c r="AE55">
        <f>IF(ROUND(A55*10,3)='Input data'!$B$14*10,P55,0)</f>
        <v>0</v>
      </c>
      <c r="AF55">
        <f>IF('Input data'!$B$26="C",IF((3.14159265*1860/4)*((0.001*'Input data'!$B$20)-(2*'Input data'!$B$28*A55))^2*((0.33333*0.001*'Input data'!$B$20)-(2*'Input data'!$B$28*A55))&lt;0,(3.14159265*1860/4)*((0.001*'Input data'!$B$20)-(2*'Input data'!$B$28*A55))^2*((0.33333*0.001*'Input data'!$B$20)-(2*'Input data'!$B$28*A55)),(3.14159265*1860/4)*((0.001*'Input data'!$B$20)-(2*'Input data'!$B$28*A55))^2*((0.33333*0.001*'Input data'!$B$20)-(2*'Input data'!$B$28*A55))),'Input data'!$B$21)</f>
        <v>0.40680208090393727</v>
      </c>
      <c r="AG55">
        <f t="shared" si="6"/>
        <v>0</v>
      </c>
      <c r="AH55">
        <f t="shared" si="7"/>
        <v>0</v>
      </c>
      <c r="AI55">
        <f t="shared" si="13"/>
        <v>0</v>
      </c>
      <c r="AJ55">
        <f t="shared" si="9"/>
        <v>3000</v>
      </c>
      <c r="AK55">
        <f>IF('Input data'!$B$26="S",'Input data'!$B$22,3.1415*(('Input data'!$B$20*0.0005)-('Input data'!$B$28*A55))^2)</f>
        <v>7.8539816250000026E-3</v>
      </c>
    </row>
    <row r="56" spans="1:37" x14ac:dyDescent="0.2">
      <c r="A56" s="9">
        <f>A55+'Input data'!$B$24</f>
        <v>4.8999999999999986</v>
      </c>
      <c r="B56">
        <f>B55+(J55*'Input data'!$B$24)</f>
        <v>6.5121525859723697</v>
      </c>
      <c r="C56">
        <f>C55+(K55*'Input data'!$B$24)</f>
        <v>0</v>
      </c>
      <c r="D56">
        <f>D55+(L55*'Input data'!$B$24)</f>
        <v>1.9978128056858835</v>
      </c>
      <c r="E56">
        <f>IF('Input data'!$B$13=2,'Input data'!$B$25*((0.1036*LN(ABS(P55+1)))+0.8731),IF('Input data'!$B$13=3,'Input data'!$B$25*((0.139*LN(ABS(P55+1)))+0.7503),'Input data'!$B$25))</f>
        <v>5.8921354071446013</v>
      </c>
      <c r="F56">
        <f>E56*COS(RADIANS('Input data'!$B$10))</f>
        <v>5.8921354071446013</v>
      </c>
      <c r="G56">
        <f>E56*SIN(RADIANS('Input data'!$B$10))</f>
        <v>0</v>
      </c>
      <c r="H56">
        <f>1.22*EXP(-0.0001065*(P55+'Input data'!$B$12))</f>
        <v>1.196283783406924</v>
      </c>
      <c r="I56">
        <f t="shared" si="1"/>
        <v>2.0918119677934839</v>
      </c>
      <c r="J56">
        <f>-0.5*H56*I56*AK56*'Input data'!$B$19*(B56-F56)/AF56</f>
        <v>-7.551078454334244E-3</v>
      </c>
      <c r="K56">
        <f>-0.5*H56*I56*AK56*'Input data'!$B$19*(C56-G56)/AF56</f>
        <v>0</v>
      </c>
      <c r="L56">
        <f>(-0.5*H56*AK56*I56*'Input data'!$B$19*D56/AF56)-'Input data'!$B$23</f>
        <v>-9.8293310052494505</v>
      </c>
      <c r="M56">
        <f>IF(AF56&gt;0,IF(P55&lt;=Param_1,M55,M55+(B57*'Input data'!$B$24)),M55)</f>
        <v>34.297014599113979</v>
      </c>
      <c r="N56">
        <f>IF(AF56&gt;0,IF(P55&lt;=Param_1,N55,N55+(C57*'Input data'!$B$24)),N55)</f>
        <v>0</v>
      </c>
      <c r="O56">
        <f t="shared" si="0"/>
        <v>0</v>
      </c>
      <c r="P56">
        <f>IF(P55&lt;=-100000,0,IF(AF56&gt;0,IF(P55&lt;Param_1,P55,P55+(D57*'Input data'!$B$24)),P55))</f>
        <v>184.42969704462709</v>
      </c>
      <c r="Q56">
        <f t="shared" si="2"/>
        <v>34.297014599113979</v>
      </c>
      <c r="T56">
        <f t="shared" si="3"/>
        <v>34.297014599113979</v>
      </c>
      <c r="U56">
        <f t="shared" si="4"/>
        <v>0</v>
      </c>
      <c r="V56" s="74">
        <f>IF(X56=0,'Input data'!$Q$22,Q56)</f>
        <v>34.297014599113979</v>
      </c>
      <c r="W56" s="74">
        <f>IF(U56=0,'Input data'!$Q$23,U56)</f>
        <v>0</v>
      </c>
      <c r="X56" s="74">
        <f t="shared" si="12"/>
        <v>184.42969704462709</v>
      </c>
      <c r="Y56">
        <f>IF(P55&lt;Param_1,Y55,A57*'Input data'!$B$25*SIN(RADIANS('Input data'!$B$10)))</f>
        <v>0</v>
      </c>
      <c r="Z56">
        <f>IF(P55&lt;Param_1,Z55,A57*'Input data'!$B$25*COS(RADIANS('Input data'!$B$10)))</f>
        <v>20.833333333333329</v>
      </c>
      <c r="AA56">
        <f t="shared" si="10"/>
        <v>4.9999999999999982</v>
      </c>
      <c r="AB56">
        <f t="shared" si="11"/>
        <v>4.9999999999999982</v>
      </c>
      <c r="AC56">
        <f>IF(ROUND(A56*10,3)='Input data'!$B$14*10,M56,0)</f>
        <v>0</v>
      </c>
      <c r="AD56">
        <f>IF(ROUND(A56*10,3)='Input data'!$B$14*10,N56,0)</f>
        <v>0</v>
      </c>
      <c r="AE56">
        <f>IF(ROUND(A56*10,3)='Input data'!$B$14*10,P56,0)</f>
        <v>0</v>
      </c>
      <c r="AF56">
        <f>IF('Input data'!$B$26="C",IF((3.14159265*1860/4)*((0.001*'Input data'!$B$20)-(2*'Input data'!$B$28*A56))^2*((0.33333*0.001*'Input data'!$B$20)-(2*'Input data'!$B$28*A56))&lt;0,(3.14159265*1860/4)*((0.001*'Input data'!$B$20)-(2*'Input data'!$B$28*A56))^2*((0.33333*0.001*'Input data'!$B$20)-(2*'Input data'!$B$28*A56)),(3.14159265*1860/4)*((0.001*'Input data'!$B$20)-(2*'Input data'!$B$28*A56))^2*((0.33333*0.001*'Input data'!$B$20)-(2*'Input data'!$B$28*A56))),'Input data'!$B$21)</f>
        <v>0.40680208090393727</v>
      </c>
      <c r="AG56">
        <f t="shared" si="6"/>
        <v>0</v>
      </c>
      <c r="AH56">
        <f t="shared" si="7"/>
        <v>0</v>
      </c>
      <c r="AI56">
        <f t="shared" si="13"/>
        <v>0</v>
      </c>
      <c r="AJ56">
        <f t="shared" si="9"/>
        <v>3000</v>
      </c>
      <c r="AK56">
        <f>IF('Input data'!$B$26="S",'Input data'!$B$22,3.1415*(('Input data'!$B$20*0.0005)-('Input data'!$B$28*A56))^2)</f>
        <v>7.8539816250000026E-3</v>
      </c>
    </row>
    <row r="57" spans="1:37" x14ac:dyDescent="0.2">
      <c r="A57" s="9">
        <f>A56+'Input data'!$B$24</f>
        <v>4.9999999999999982</v>
      </c>
      <c r="B57">
        <f>B56+(J56*'Input data'!$B$24)</f>
        <v>6.5113974781269359</v>
      </c>
      <c r="C57">
        <f>C56+(K56*'Input data'!$B$24)</f>
        <v>0</v>
      </c>
      <c r="D57">
        <f>D56+(L56*'Input data'!$B$24)</f>
        <v>1.0148797051609384</v>
      </c>
      <c r="E57">
        <f>IF('Input data'!$B$13=2,'Input data'!$B$25*((0.1036*LN(ABS(P56+1)))+0.8731),IF('Input data'!$B$13=3,'Input data'!$B$25*((0.139*LN(ABS(P56+1)))+0.7503),'Input data'!$B$25))</f>
        <v>5.8923717283359274</v>
      </c>
      <c r="F57">
        <f>E57*COS(RADIANS('Input data'!$B$10))</f>
        <v>5.8923717283359274</v>
      </c>
      <c r="G57">
        <f>E57*SIN(RADIANS('Input data'!$B$10))</f>
        <v>0</v>
      </c>
      <c r="H57">
        <f>1.22*EXP(-0.0001065*(P56+'Input data'!$B$12))</f>
        <v>1.19627085348078</v>
      </c>
      <c r="I57">
        <f t="shared" si="1"/>
        <v>1.1887698241677711</v>
      </c>
      <c r="J57">
        <f>-0.5*H57*I57*AK57*'Input data'!$B$19*(B57-F57)/AF57</f>
        <v>-4.2843447458165724E-3</v>
      </c>
      <c r="K57">
        <f>-0.5*H57*I57*AK57*'Input data'!$B$19*(C57-G57)/AF57</f>
        <v>0</v>
      </c>
      <c r="L57">
        <f>(-0.5*H57*AK57*I57*'Input data'!$B$19*D57/AF57)-'Input data'!$B$23</f>
        <v>-9.8120240931559142</v>
      </c>
      <c r="M57">
        <f>IF(AF57&gt;0,IF(P56&lt;=Param_1,M56,M56+(B58*'Input data'!$B$24)),M56)</f>
        <v>34.948111503479211</v>
      </c>
      <c r="N57">
        <f>IF(AF57&gt;0,IF(P56&lt;=Param_1,N56,N56+(C58*'Input data'!$B$24)),N56)</f>
        <v>0</v>
      </c>
      <c r="O57">
        <f t="shared" si="0"/>
        <v>0</v>
      </c>
      <c r="P57">
        <f>IF(P56&lt;=-100000,0,IF(AF57&gt;0,IF(P56&lt;Param_1,P56,P56+(D58*'Input data'!$B$24)),P56))</f>
        <v>184.43306477421163</v>
      </c>
      <c r="Q57">
        <f t="shared" si="2"/>
        <v>34.948111503479211</v>
      </c>
      <c r="T57">
        <f t="shared" si="3"/>
        <v>34.948111503479211</v>
      </c>
      <c r="U57">
        <f t="shared" si="4"/>
        <v>0</v>
      </c>
      <c r="V57" s="74">
        <f>IF(X57=0,'Input data'!$Q$22,Q57)</f>
        <v>34.948111503479211</v>
      </c>
      <c r="W57" s="74">
        <f>IF(U57=0,'Input data'!$Q$23,U57)</f>
        <v>0</v>
      </c>
      <c r="X57" s="74">
        <f t="shared" si="12"/>
        <v>184.43306477421163</v>
      </c>
      <c r="Y57">
        <f>IF(P56&lt;Param_1,Y56,A58*'Input data'!$B$25*SIN(RADIANS('Input data'!$B$10)))</f>
        <v>0</v>
      </c>
      <c r="Z57">
        <f>IF(P56&lt;Param_1,Z56,A58*'Input data'!$B$25*COS(RADIANS('Input data'!$B$10)))</f>
        <v>21.249999999999993</v>
      </c>
      <c r="AA57">
        <f t="shared" si="10"/>
        <v>5.0999999999999979</v>
      </c>
      <c r="AB57">
        <f t="shared" si="11"/>
        <v>5.0999999999999979</v>
      </c>
      <c r="AC57">
        <f>IF(ROUND(A57*10,3)='Input data'!$B$14*10,M57,0)</f>
        <v>0</v>
      </c>
      <c r="AD57">
        <f>IF(ROUND(A57*10,3)='Input data'!$B$14*10,N57,0)</f>
        <v>0</v>
      </c>
      <c r="AE57">
        <f>IF(ROUND(A57*10,3)='Input data'!$B$14*10,P57,0)</f>
        <v>0</v>
      </c>
      <c r="AF57">
        <f>IF('Input data'!$B$26="C",IF((3.14159265*1860/4)*((0.001*'Input data'!$B$20)-(2*'Input data'!$B$28*A57))^2*((0.33333*0.001*'Input data'!$B$20)-(2*'Input data'!$B$28*A57))&lt;0,(3.14159265*1860/4)*((0.001*'Input data'!$B$20)-(2*'Input data'!$B$28*A57))^2*((0.33333*0.001*'Input data'!$B$20)-(2*'Input data'!$B$28*A57)),(3.14159265*1860/4)*((0.001*'Input data'!$B$20)-(2*'Input data'!$B$28*A57))^2*((0.33333*0.001*'Input data'!$B$20)-(2*'Input data'!$B$28*A57))),'Input data'!$B$21)</f>
        <v>0.40680208090393727</v>
      </c>
      <c r="AG57">
        <f t="shared" si="6"/>
        <v>0</v>
      </c>
      <c r="AH57">
        <f t="shared" si="7"/>
        <v>0</v>
      </c>
      <c r="AI57">
        <f t="shared" si="13"/>
        <v>0</v>
      </c>
      <c r="AJ57">
        <f t="shared" si="9"/>
        <v>3000</v>
      </c>
      <c r="AK57">
        <f>IF('Input data'!$B$26="S",'Input data'!$B$22,3.1415*(('Input data'!$B$20*0.0005)-('Input data'!$B$28*A57))^2)</f>
        <v>7.8539816250000026E-3</v>
      </c>
    </row>
    <row r="58" spans="1:37" x14ac:dyDescent="0.2">
      <c r="A58" s="9">
        <f>A57+'Input data'!$B$24</f>
        <v>5.0999999999999979</v>
      </c>
      <c r="B58">
        <f>B57+(J57*'Input data'!$B$24)</f>
        <v>6.510969043652354</v>
      </c>
      <c r="C58">
        <f>C57+(K57*'Input data'!$B$24)</f>
        <v>0</v>
      </c>
      <c r="D58">
        <f>D57+(L57*'Input data'!$B$24)</f>
        <v>3.3677295845346955E-2</v>
      </c>
      <c r="E58">
        <f>IF('Input data'!$B$13=2,'Input data'!$B$25*((0.1036*LN(ABS(P57+1)))+0.8731),IF('Input data'!$B$13=3,'Input data'!$B$25*((0.139*LN(ABS(P57+1)))+0.7503),'Input data'!$B$25))</f>
        <v>5.8923795680909725</v>
      </c>
      <c r="F58">
        <f>E58*COS(RADIANS('Input data'!$B$10))</f>
        <v>5.8923795680909725</v>
      </c>
      <c r="G58">
        <f>E58*SIN(RADIANS('Input data'!$B$10))</f>
        <v>0</v>
      </c>
      <c r="H58">
        <f>1.22*EXP(-0.0001065*(P57+'Input data'!$B$12))</f>
        <v>1.1962704244225235</v>
      </c>
      <c r="I58">
        <f t="shared" si="1"/>
        <v>0.61950552824874772</v>
      </c>
      <c r="J58">
        <f>-0.5*H58*I58*AK58*'Input data'!$B$19*(B58-F58)/AF58</f>
        <v>-2.2311331023518528E-3</v>
      </c>
      <c r="K58">
        <f>-0.5*H58*I58*AK58*'Input data'!$B$19*(C58-G58)/AF58</f>
        <v>0</v>
      </c>
      <c r="L58">
        <f>(-0.5*H58*AK58*I58*'Input data'!$B$19*D58/AF58)-'Input data'!$B$23</f>
        <v>-9.8051214675201024</v>
      </c>
      <c r="M58">
        <f>IF(AF58&gt;0,IF(P57&lt;=Param_1,M57,M57+(B59*'Input data'!$B$24)),M57)</f>
        <v>35.599186096513421</v>
      </c>
      <c r="N58">
        <f>IF(AF58&gt;0,IF(P57&lt;=Param_1,N57,N57+(C59*'Input data'!$B$24)),N57)</f>
        <v>0</v>
      </c>
      <c r="O58">
        <f t="shared" si="0"/>
        <v>0</v>
      </c>
      <c r="P58">
        <f>IF(P57&lt;=-100000,0,IF(AF58&gt;0,IF(P57&lt;Param_1,P57,P57+(D59*'Input data'!$B$24)),P57))</f>
        <v>184.33838128912097</v>
      </c>
      <c r="Q58">
        <f t="shared" si="2"/>
        <v>35.599186096513421</v>
      </c>
      <c r="T58">
        <f t="shared" si="3"/>
        <v>35.599186096513421</v>
      </c>
      <c r="U58">
        <f t="shared" si="4"/>
        <v>0</v>
      </c>
      <c r="V58" s="74">
        <f>IF(X58=0,'Input data'!$Q$22,Q58)</f>
        <v>35.599186096513421</v>
      </c>
      <c r="W58" s="74">
        <f>IF(U58=0,'Input data'!$Q$23,U58)</f>
        <v>0</v>
      </c>
      <c r="X58" s="74">
        <f t="shared" si="12"/>
        <v>184.33838128912097</v>
      </c>
      <c r="Y58">
        <f>IF(P57&lt;Param_1,Y57,A59*'Input data'!$B$25*SIN(RADIANS('Input data'!$B$10)))</f>
        <v>0</v>
      </c>
      <c r="Z58">
        <f>IF(P57&lt;Param_1,Z57,A59*'Input data'!$B$25*COS(RADIANS('Input data'!$B$10)))</f>
        <v>21.666666666666657</v>
      </c>
      <c r="AA58">
        <f t="shared" si="10"/>
        <v>5.1999999999999975</v>
      </c>
      <c r="AB58">
        <f t="shared" si="11"/>
        <v>5.1999999999999975</v>
      </c>
      <c r="AC58">
        <f>IF(ROUND(A58*10,3)='Input data'!$B$14*10,M58,0)</f>
        <v>0</v>
      </c>
      <c r="AD58">
        <f>IF(ROUND(A58*10,3)='Input data'!$B$14*10,N58,0)</f>
        <v>0</v>
      </c>
      <c r="AE58">
        <f>IF(ROUND(A58*10,3)='Input data'!$B$14*10,P58,0)</f>
        <v>0</v>
      </c>
      <c r="AF58">
        <f>IF('Input data'!$B$26="C",IF((3.14159265*1860/4)*((0.001*'Input data'!$B$20)-(2*'Input data'!$B$28*A58))^2*((0.33333*0.001*'Input data'!$B$20)-(2*'Input data'!$B$28*A58))&lt;0,(3.14159265*1860/4)*((0.001*'Input data'!$B$20)-(2*'Input data'!$B$28*A58))^2*((0.33333*0.001*'Input data'!$B$20)-(2*'Input data'!$B$28*A58)),(3.14159265*1860/4)*((0.001*'Input data'!$B$20)-(2*'Input data'!$B$28*A58))^2*((0.33333*0.001*'Input data'!$B$20)-(2*'Input data'!$B$28*A58))),'Input data'!$B$21)</f>
        <v>0.40680208090393727</v>
      </c>
      <c r="AG58">
        <f t="shared" si="6"/>
        <v>0</v>
      </c>
      <c r="AH58">
        <f t="shared" si="7"/>
        <v>0</v>
      </c>
      <c r="AI58">
        <f t="shared" si="13"/>
        <v>0</v>
      </c>
      <c r="AJ58">
        <f t="shared" si="9"/>
        <v>3000</v>
      </c>
      <c r="AK58">
        <f>IF('Input data'!$B$26="S",'Input data'!$B$22,3.1415*(('Input data'!$B$20*0.0005)-('Input data'!$B$28*A58))^2)</f>
        <v>7.8539816250000026E-3</v>
      </c>
    </row>
    <row r="59" spans="1:37" x14ac:dyDescent="0.2">
      <c r="A59" s="9">
        <f>A58+'Input data'!$B$24</f>
        <v>5.1999999999999975</v>
      </c>
      <c r="B59">
        <f>B58+(J58*'Input data'!$B$24)</f>
        <v>6.5107459303421189</v>
      </c>
      <c r="C59">
        <f>C58+(K58*'Input data'!$B$24)</f>
        <v>0</v>
      </c>
      <c r="D59">
        <f>D58+(L58*'Input data'!$B$24)</f>
        <v>-0.94683485090666331</v>
      </c>
      <c r="E59">
        <f>IF('Input data'!$B$13=2,'Input data'!$B$25*((0.1036*LN(ABS(P58+1)))+0.8731),IF('Input data'!$B$13=3,'Input data'!$B$25*((0.139*LN(ABS(P58+1)))+0.7503),'Input data'!$B$25))</f>
        <v>5.8921590996286897</v>
      </c>
      <c r="F59">
        <f>E59*COS(RADIANS('Input data'!$B$10))</f>
        <v>5.8921590996286897</v>
      </c>
      <c r="G59">
        <f>E59*SIN(RADIANS('Input data'!$B$10))</f>
        <v>0</v>
      </c>
      <c r="H59">
        <f>1.22*EXP(-0.0001065*(P58+'Input data'!$B$12))</f>
        <v>1.1962824874244773</v>
      </c>
      <c r="I59">
        <f t="shared" si="1"/>
        <v>1.1309933253664799</v>
      </c>
      <c r="J59">
        <f>-0.5*H59*I59*AK59*'Input data'!$B$19*(B59-F59)/AF59</f>
        <v>-4.0732668040257373E-3</v>
      </c>
      <c r="K59">
        <f>-0.5*H59*I59*AK59*'Input data'!$B$19*(C59-G59)/AF59</f>
        <v>0</v>
      </c>
      <c r="L59">
        <f>(-0.5*H59*AK59*I59*'Input data'!$B$19*D59/AF59)-'Input data'!$B$23</f>
        <v>-9.7987652876272122</v>
      </c>
      <c r="M59">
        <f>IF(AF59&gt;0,IF(P58&lt;=Param_1,M58,M58+(B60*'Input data'!$B$24)),M58)</f>
        <v>36.25021995687959</v>
      </c>
      <c r="N59">
        <f>IF(AF59&gt;0,IF(P58&lt;=Param_1,N58,N58+(C60*'Input data'!$B$24)),N58)</f>
        <v>0</v>
      </c>
      <c r="O59">
        <f t="shared" si="0"/>
        <v>0</v>
      </c>
      <c r="P59">
        <f>IF(P58&lt;=-100000,0,IF(AF59&gt;0,IF(P58&lt;Param_1,P58,P58+(D60*'Input data'!$B$24)),P58))</f>
        <v>184.14571015115405</v>
      </c>
      <c r="Q59">
        <f t="shared" si="2"/>
        <v>36.25021995687959</v>
      </c>
      <c r="T59">
        <f t="shared" si="3"/>
        <v>36.25021995687959</v>
      </c>
      <c r="U59">
        <f t="shared" si="4"/>
        <v>0</v>
      </c>
      <c r="V59" s="74">
        <f>IF(X59=0,'Input data'!$Q$22,Q59)</f>
        <v>36.25021995687959</v>
      </c>
      <c r="W59" s="74">
        <f>IF(U59=0,'Input data'!$Q$23,U59)</f>
        <v>0</v>
      </c>
      <c r="X59" s="74">
        <f t="shared" si="12"/>
        <v>184.14571015115405</v>
      </c>
      <c r="Y59">
        <f>IF(P58&lt;Param_1,Y58,A60*'Input data'!$B$25*SIN(RADIANS('Input data'!$B$10)))</f>
        <v>0</v>
      </c>
      <c r="Z59">
        <f>IF(P58&lt;Param_1,Z58,A60*'Input data'!$B$25*COS(RADIANS('Input data'!$B$10)))</f>
        <v>22.083333333333321</v>
      </c>
      <c r="AA59">
        <f t="shared" si="10"/>
        <v>5.2999999999999972</v>
      </c>
      <c r="AB59">
        <f t="shared" si="11"/>
        <v>5.1999999999999975</v>
      </c>
      <c r="AC59">
        <f>IF(ROUND(A59*10,3)='Input data'!$B$14*10,M59,0)</f>
        <v>36.25021995687959</v>
      </c>
      <c r="AD59">
        <f>IF(ROUND(A59*10,3)='Input data'!$B$14*10,N59,0)</f>
        <v>0</v>
      </c>
      <c r="AE59">
        <f>IF(ROUND(A59*10,3)='Input data'!$B$14*10,P59,0)</f>
        <v>184.14571015115405</v>
      </c>
      <c r="AF59">
        <f>IF('Input data'!$B$26="C",IF((3.14159265*1860/4)*((0.001*'Input data'!$B$20)-(2*'Input data'!$B$28*A59))^2*((0.33333*0.001*'Input data'!$B$20)-(2*'Input data'!$B$28*A59))&lt;0,(3.14159265*1860/4)*((0.001*'Input data'!$B$20)-(2*'Input data'!$B$28*A59))^2*((0.33333*0.001*'Input data'!$B$20)-(2*'Input data'!$B$28*A59)),(3.14159265*1860/4)*((0.001*'Input data'!$B$20)-(2*'Input data'!$B$28*A59))^2*((0.33333*0.001*'Input data'!$B$20)-(2*'Input data'!$B$28*A59))),'Input data'!$B$21)</f>
        <v>0.40680208090393727</v>
      </c>
      <c r="AG59">
        <f t="shared" si="6"/>
        <v>0</v>
      </c>
      <c r="AH59">
        <f t="shared" si="7"/>
        <v>0</v>
      </c>
      <c r="AI59">
        <f t="shared" si="13"/>
        <v>0</v>
      </c>
      <c r="AJ59">
        <f t="shared" si="9"/>
        <v>3000</v>
      </c>
      <c r="AK59">
        <f>IF('Input data'!$B$26="S",'Input data'!$B$22,3.1415*(('Input data'!$B$20*0.0005)-('Input data'!$B$28*A59))^2)</f>
        <v>7.8539816250000026E-3</v>
      </c>
    </row>
    <row r="60" spans="1:37" x14ac:dyDescent="0.2">
      <c r="A60" s="9">
        <f>A59+'Input data'!$B$24</f>
        <v>5.2999999999999972</v>
      </c>
      <c r="B60">
        <f>B59+(J59*'Input data'!$B$24)</f>
        <v>6.5103386036617161</v>
      </c>
      <c r="C60">
        <f>C59+(K59*'Input data'!$B$24)</f>
        <v>0</v>
      </c>
      <c r="D60">
        <f>D59+(L59*'Input data'!$B$24)</f>
        <v>-1.9267113796693844</v>
      </c>
      <c r="E60">
        <f>IF('Input data'!$B$13=2,'Input data'!$B$25*((0.1036*LN(ABS(P59+1)))+0.8731),IF('Input data'!$B$13=3,'Input data'!$B$25*((0.139*LN(ABS(P59+1)))+0.7503),'Input data'!$B$25))</f>
        <v>5.8917101210230847</v>
      </c>
      <c r="F60">
        <f>E60*COS(RADIANS('Input data'!$B$10))</f>
        <v>5.8917101210230847</v>
      </c>
      <c r="G60">
        <f>E60*SIN(RADIANS('Input data'!$B$10))</f>
        <v>0</v>
      </c>
      <c r="H60">
        <f>1.22*EXP(-0.0001065*(P59+'Input data'!$B$12))</f>
        <v>1.1963070347663471</v>
      </c>
      <c r="I60">
        <f t="shared" si="1"/>
        <v>2.0235903587631761</v>
      </c>
      <c r="J60">
        <f>-0.5*H60*I60*AK60*'Input data'!$B$19*(B60-F60)/AF60</f>
        <v>-7.2885908383807903E-3</v>
      </c>
      <c r="K60">
        <f>-0.5*H60*I60*AK60*'Input data'!$B$19*(C60-G60)/AF60</f>
        <v>0</v>
      </c>
      <c r="L60">
        <f>(-0.5*H60*AK60*I60*'Input data'!$B$19*D60/AF60)-'Input data'!$B$23</f>
        <v>-9.7822997666545106</v>
      </c>
      <c r="M60">
        <f>IF(AF60&gt;0,IF(P59&lt;=Param_1,M59,M59+(B61*'Input data'!$B$24)),M59)</f>
        <v>36.901180931337379</v>
      </c>
      <c r="N60">
        <f>IF(AF60&gt;0,IF(P59&lt;=Param_1,N59,N59+(C61*'Input data'!$B$24)),N59)</f>
        <v>0</v>
      </c>
      <c r="O60">
        <f t="shared" si="0"/>
        <v>0</v>
      </c>
      <c r="P60">
        <f>IF(P59&lt;=-100000,0,IF(AF60&gt;0,IF(P59&lt;Param_1,P59,P59+(D61*'Input data'!$B$24)),P59))</f>
        <v>183.85521601552057</v>
      </c>
      <c r="Q60">
        <f t="shared" si="2"/>
        <v>36.901180931337379</v>
      </c>
      <c r="T60">
        <f t="shared" si="3"/>
        <v>36.901180931337379</v>
      </c>
      <c r="U60">
        <f t="shared" si="4"/>
        <v>0</v>
      </c>
      <c r="V60" s="74">
        <f>IF(X60=0,'Input data'!$Q$22,Q60)</f>
        <v>36.901180931337379</v>
      </c>
      <c r="W60" s="74">
        <f>IF(U60=0,'Input data'!$Q$23,U60)</f>
        <v>0</v>
      </c>
      <c r="X60" s="74">
        <f t="shared" si="12"/>
        <v>183.85521601552057</v>
      </c>
      <c r="Y60">
        <f>IF(P59&lt;Param_1,Y59,A61*'Input data'!$B$25*SIN(RADIANS('Input data'!$B$10)))</f>
        <v>0</v>
      </c>
      <c r="Z60">
        <f>IF(P59&lt;Param_1,Z59,A61*'Input data'!$B$25*COS(RADIANS('Input data'!$B$10)))</f>
        <v>22.499999999999989</v>
      </c>
      <c r="AA60">
        <f t="shared" si="10"/>
        <v>5.3999999999999968</v>
      </c>
      <c r="AB60">
        <f t="shared" si="11"/>
        <v>5.1999999999999975</v>
      </c>
      <c r="AC60">
        <f>IF(ROUND(A60*10,3)='Input data'!$B$14*10,M60,0)</f>
        <v>0</v>
      </c>
      <c r="AD60">
        <f>IF(ROUND(A60*10,3)='Input data'!$B$14*10,N60,0)</f>
        <v>0</v>
      </c>
      <c r="AE60">
        <f>IF(ROUND(A60*10,3)='Input data'!$B$14*10,P60,0)</f>
        <v>0</v>
      </c>
      <c r="AF60">
        <f>IF('Input data'!$B$26="C",IF((3.14159265*1860/4)*((0.001*'Input data'!$B$20)-(2*'Input data'!$B$28*A60))^2*((0.33333*0.001*'Input data'!$B$20)-(2*'Input data'!$B$28*A60))&lt;0,(3.14159265*1860/4)*((0.001*'Input data'!$B$20)-(2*'Input data'!$B$28*A60))^2*((0.33333*0.001*'Input data'!$B$20)-(2*'Input data'!$B$28*A60)),(3.14159265*1860/4)*((0.001*'Input data'!$B$20)-(2*'Input data'!$B$28*A60))^2*((0.33333*0.001*'Input data'!$B$20)-(2*'Input data'!$B$28*A60))),'Input data'!$B$21)</f>
        <v>0.40680208090393727</v>
      </c>
      <c r="AG60">
        <f t="shared" si="6"/>
        <v>0</v>
      </c>
      <c r="AH60">
        <f t="shared" si="7"/>
        <v>0</v>
      </c>
      <c r="AI60">
        <f t="shared" si="13"/>
        <v>0</v>
      </c>
      <c r="AJ60">
        <f t="shared" si="9"/>
        <v>3000</v>
      </c>
      <c r="AK60">
        <f>IF('Input data'!$B$26="S",'Input data'!$B$22,3.1415*(('Input data'!$B$20*0.0005)-('Input data'!$B$28*A60))^2)</f>
        <v>7.8539816250000026E-3</v>
      </c>
    </row>
    <row r="61" spans="1:37" x14ac:dyDescent="0.2">
      <c r="A61" s="9">
        <f>A60+'Input data'!$B$24</f>
        <v>5.3999999999999968</v>
      </c>
      <c r="B61">
        <f>B60+(J60*'Input data'!$B$24)</f>
        <v>6.5096097445778778</v>
      </c>
      <c r="C61">
        <f>C60+(K60*'Input data'!$B$24)</f>
        <v>0</v>
      </c>
      <c r="D61">
        <f>D60+(L60*'Input data'!$B$24)</f>
        <v>-2.9049413563348354</v>
      </c>
      <c r="E61">
        <f>IF('Input data'!$B$13=2,'Input data'!$B$25*((0.1036*LN(ABS(P60+1)))+0.8731),IF('Input data'!$B$13=3,'Input data'!$B$25*((0.139*LN(ABS(P60+1)))+0.7503),'Input data'!$B$25))</f>
        <v>5.8910323029306833</v>
      </c>
      <c r="F61">
        <f>E61*COS(RADIANS('Input data'!$B$10))</f>
        <v>5.8910323029306833</v>
      </c>
      <c r="G61">
        <f>E61*SIN(RADIANS('Input data'!$B$10))</f>
        <v>0</v>
      </c>
      <c r="H61">
        <f>1.22*EXP(-0.0001065*(P60+'Input data'!$B$12))</f>
        <v>1.1963440462378265</v>
      </c>
      <c r="I61">
        <f t="shared" si="1"/>
        <v>2.9700710993272978</v>
      </c>
      <c r="J61">
        <f>-0.5*H61*I61*AK61*'Input data'!$B$19*(B61-F61)/AF61</f>
        <v>-1.0697084277442643E-2</v>
      </c>
      <c r="K61">
        <f>-0.5*H61*I61*AK61*'Input data'!$B$19*(C61-G61)/AF61</f>
        <v>0</v>
      </c>
      <c r="L61">
        <f>(-0.5*H61*AK61*I61*'Input data'!$B$19*D61/AF61)-'Input data'!$B$23</f>
        <v>-9.7547647336976997</v>
      </c>
      <c r="M61">
        <f>IF(AF61&gt;0,IF(P60&lt;=Param_1,M60,M60+(B62*'Input data'!$B$24)),M60)</f>
        <v>37.552034934952395</v>
      </c>
      <c r="N61">
        <f>IF(AF61&gt;0,IF(P60&lt;=Param_1,N60,N60+(C62*'Input data'!$B$24)),N60)</f>
        <v>0</v>
      </c>
      <c r="O61">
        <f t="shared" si="0"/>
        <v>0</v>
      </c>
      <c r="P61">
        <f>IF(P60&lt;=-100000,0,IF(AF61&gt;0,IF(P60&lt;Param_1,P60,P60+(D62*'Input data'!$B$24)),P60))</f>
        <v>183.46717423255012</v>
      </c>
      <c r="Q61">
        <f t="shared" si="2"/>
        <v>37.552034934952395</v>
      </c>
      <c r="T61">
        <f t="shared" si="3"/>
        <v>37.552034934952395</v>
      </c>
      <c r="U61">
        <f t="shared" si="4"/>
        <v>0</v>
      </c>
      <c r="V61" s="74">
        <f>IF(X61=0,'Input data'!$Q$22,Q61)</f>
        <v>37.552034934952395</v>
      </c>
      <c r="W61" s="74">
        <f>IF(U61=0,'Input data'!$Q$23,U61)</f>
        <v>0</v>
      </c>
      <c r="X61" s="74">
        <f t="shared" si="12"/>
        <v>183.46717423255012</v>
      </c>
      <c r="Y61">
        <f>IF(P60&lt;Param_1,Y60,A62*'Input data'!$B$25*SIN(RADIANS('Input data'!$B$10)))</f>
        <v>0</v>
      </c>
      <c r="Z61">
        <f>IF(P60&lt;Param_1,Z60,A62*'Input data'!$B$25*COS(RADIANS('Input data'!$B$10)))</f>
        <v>22.916666666666654</v>
      </c>
      <c r="AA61">
        <f t="shared" si="10"/>
        <v>5.4999999999999964</v>
      </c>
      <c r="AB61">
        <f t="shared" si="11"/>
        <v>5.1999999999999975</v>
      </c>
      <c r="AC61">
        <f>IF(ROUND(A61*10,3)='Input data'!$B$14*10,M61,0)</f>
        <v>0</v>
      </c>
      <c r="AD61">
        <f>IF(ROUND(A61*10,3)='Input data'!$B$14*10,N61,0)</f>
        <v>0</v>
      </c>
      <c r="AE61">
        <f>IF(ROUND(A61*10,3)='Input data'!$B$14*10,P61,0)</f>
        <v>0</v>
      </c>
      <c r="AF61">
        <f>IF('Input data'!$B$26="C",IF((3.14159265*1860/4)*((0.001*'Input data'!$B$20)-(2*'Input data'!$B$28*A61))^2*((0.33333*0.001*'Input data'!$B$20)-(2*'Input data'!$B$28*A61))&lt;0,(3.14159265*1860/4)*((0.001*'Input data'!$B$20)-(2*'Input data'!$B$28*A61))^2*((0.33333*0.001*'Input data'!$B$20)-(2*'Input data'!$B$28*A61)),(3.14159265*1860/4)*((0.001*'Input data'!$B$20)-(2*'Input data'!$B$28*A61))^2*((0.33333*0.001*'Input data'!$B$20)-(2*'Input data'!$B$28*A61))),'Input data'!$B$21)</f>
        <v>0.40680208090393727</v>
      </c>
      <c r="AG61">
        <f t="shared" si="6"/>
        <v>0</v>
      </c>
      <c r="AH61">
        <f t="shared" si="7"/>
        <v>0</v>
      </c>
      <c r="AI61">
        <f t="shared" si="13"/>
        <v>0</v>
      </c>
      <c r="AJ61">
        <f t="shared" si="9"/>
        <v>3000</v>
      </c>
      <c r="AK61">
        <f>IF('Input data'!$B$26="S",'Input data'!$B$22,3.1415*(('Input data'!$B$20*0.0005)-('Input data'!$B$28*A61))^2)</f>
        <v>7.8539816250000026E-3</v>
      </c>
    </row>
    <row r="62" spans="1:37" x14ac:dyDescent="0.2">
      <c r="A62" s="9">
        <f>A61+'Input data'!$B$24</f>
        <v>5.4999999999999964</v>
      </c>
      <c r="B62">
        <f>B61+(J61*'Input data'!$B$24)</f>
        <v>6.5085400361501335</v>
      </c>
      <c r="C62">
        <f>C61+(K61*'Input data'!$B$24)</f>
        <v>0</v>
      </c>
      <c r="D62">
        <f>D61+(L61*'Input data'!$B$24)</f>
        <v>-3.8804178297046055</v>
      </c>
      <c r="E62">
        <f>IF('Input data'!$B$13=2,'Input data'!$B$25*((0.1036*LN(ABS(P61+1)))+0.8731),IF('Input data'!$B$13=3,'Input data'!$B$25*((0.139*LN(ABS(P61+1)))+0.7503),'Input data'!$B$25))</f>
        <v>5.8901252105417914</v>
      </c>
      <c r="F62">
        <f>E62*COS(RADIANS('Input data'!$B$10))</f>
        <v>5.8901252105417914</v>
      </c>
      <c r="G62">
        <f>E62*SIN(RADIANS('Input data'!$B$10))</f>
        <v>0</v>
      </c>
      <c r="H62">
        <f>1.22*EXP(-0.0001065*(P61+'Input data'!$B$12))</f>
        <v>1.1963934879117175</v>
      </c>
      <c r="I62">
        <f t="shared" si="1"/>
        <v>3.9293866480179314</v>
      </c>
      <c r="J62">
        <f>-0.5*H62*I62*AK62*'Input data'!$B$19*(B62-F62)/AF62</f>
        <v>-1.4149044063703332E-2</v>
      </c>
      <c r="K62">
        <f>-0.5*H62*I62*AK62*'Input data'!$B$19*(C62-G62)/AF62</f>
        <v>0</v>
      </c>
      <c r="L62">
        <f>(-0.5*H62*AK62*I62*'Input data'!$B$19*D62/AF62)-'Input data'!$B$23</f>
        <v>-9.7162178418360838</v>
      </c>
      <c r="M62">
        <f>IF(AF62&gt;0,IF(P61&lt;=Param_1,M61,M61+(B63*'Input data'!$B$24)),M61)</f>
        <v>38.202747448126772</v>
      </c>
      <c r="N62">
        <f>IF(AF62&gt;0,IF(P61&lt;=Param_1,N61,N61+(C63*'Input data'!$B$24)),N61)</f>
        <v>0</v>
      </c>
      <c r="O62">
        <f t="shared" si="0"/>
        <v>0</v>
      </c>
      <c r="P62">
        <f>IF(P61&lt;=-100000,0,IF(AF62&gt;0,IF(P61&lt;Param_1,P61,P61+(D63*'Input data'!$B$24)),P61))</f>
        <v>182.98197027116129</v>
      </c>
      <c r="Q62">
        <f t="shared" si="2"/>
        <v>38.202747448126772</v>
      </c>
      <c r="T62">
        <f t="shared" si="3"/>
        <v>38.202747448126772</v>
      </c>
      <c r="U62">
        <f t="shared" si="4"/>
        <v>0</v>
      </c>
      <c r="V62" s="74">
        <f>IF(X62=0,'Input data'!$Q$22,Q62)</f>
        <v>38.202747448126772</v>
      </c>
      <c r="W62" s="74">
        <f>IF(U62=0,'Input data'!$Q$23,U62)</f>
        <v>0</v>
      </c>
      <c r="X62" s="74">
        <f t="shared" si="12"/>
        <v>182.98197027116129</v>
      </c>
      <c r="Y62">
        <f>IF(P61&lt;Param_1,Y61,A63*'Input data'!$B$25*SIN(RADIANS('Input data'!$B$10)))</f>
        <v>0</v>
      </c>
      <c r="Z62">
        <f>IF(P61&lt;Param_1,Z61,A63*'Input data'!$B$25*COS(RADIANS('Input data'!$B$10)))</f>
        <v>23.333333333333318</v>
      </c>
      <c r="AA62">
        <f t="shared" si="10"/>
        <v>5.5999999999999961</v>
      </c>
      <c r="AB62">
        <f t="shared" si="11"/>
        <v>5.1999999999999975</v>
      </c>
      <c r="AC62">
        <f>IF(ROUND(A62*10,3)='Input data'!$B$14*10,M62,0)</f>
        <v>0</v>
      </c>
      <c r="AD62">
        <f>IF(ROUND(A62*10,3)='Input data'!$B$14*10,N62,0)</f>
        <v>0</v>
      </c>
      <c r="AE62">
        <f>IF(ROUND(A62*10,3)='Input data'!$B$14*10,P62,0)</f>
        <v>0</v>
      </c>
      <c r="AF62">
        <f>IF('Input data'!$B$26="C",IF((3.14159265*1860/4)*((0.001*'Input data'!$B$20)-(2*'Input data'!$B$28*A62))^2*((0.33333*0.001*'Input data'!$B$20)-(2*'Input data'!$B$28*A62))&lt;0,(3.14159265*1860/4)*((0.001*'Input data'!$B$20)-(2*'Input data'!$B$28*A62))^2*((0.33333*0.001*'Input data'!$B$20)-(2*'Input data'!$B$28*A62)),(3.14159265*1860/4)*((0.001*'Input data'!$B$20)-(2*'Input data'!$B$28*A62))^2*((0.33333*0.001*'Input data'!$B$20)-(2*'Input data'!$B$28*A62))),'Input data'!$B$21)</f>
        <v>0.40680208090393727</v>
      </c>
      <c r="AG62">
        <f t="shared" si="6"/>
        <v>0</v>
      </c>
      <c r="AH62">
        <f t="shared" si="7"/>
        <v>0</v>
      </c>
      <c r="AI62">
        <f t="shared" si="13"/>
        <v>0</v>
      </c>
      <c r="AJ62">
        <f t="shared" si="9"/>
        <v>3000</v>
      </c>
      <c r="AK62">
        <f>IF('Input data'!$B$26="S",'Input data'!$B$22,3.1415*(('Input data'!$B$20*0.0005)-('Input data'!$B$28*A62))^2)</f>
        <v>7.8539816250000026E-3</v>
      </c>
    </row>
    <row r="63" spans="1:37" x14ac:dyDescent="0.2">
      <c r="A63" s="9">
        <f>A62+'Input data'!$B$24</f>
        <v>5.5999999999999961</v>
      </c>
      <c r="B63">
        <f>B62+(J62*'Input data'!$B$24)</f>
        <v>6.5071251317437628</v>
      </c>
      <c r="C63">
        <f>C62+(K62*'Input data'!$B$24)</f>
        <v>0</v>
      </c>
      <c r="D63">
        <f>D62+(L62*'Input data'!$B$24)</f>
        <v>-4.8520396138882136</v>
      </c>
      <c r="E63">
        <f>IF('Input data'!$B$13=2,'Input data'!$B$25*((0.1036*LN(ABS(P62+1)))+0.8731),IF('Input data'!$B$13=3,'Input data'!$B$25*((0.139*LN(ABS(P62+1)))+0.7503),'Input data'!$B$25))</f>
        <v>5.8889883019569131</v>
      </c>
      <c r="F63">
        <f>E63*COS(RADIANS('Input data'!$B$10))</f>
        <v>5.8889883019569131</v>
      </c>
      <c r="G63">
        <f>E63*SIN(RADIANS('Input data'!$B$10))</f>
        <v>0</v>
      </c>
      <c r="H63">
        <f>1.22*EXP(-0.0001065*(P62+'Input data'!$B$12))</f>
        <v>1.1964553122116246</v>
      </c>
      <c r="I63">
        <f t="shared" si="1"/>
        <v>4.8912556215229053</v>
      </c>
      <c r="J63">
        <f>-0.5*H63*I63*AK63*'Input data'!$B$19*(B63-F63)/AF63</f>
        <v>-1.7605560810617281E-2</v>
      </c>
      <c r="K63">
        <f>-0.5*H63*I63*AK63*'Input data'!$B$19*(C63-G63)/AF63</f>
        <v>0</v>
      </c>
      <c r="L63">
        <f>(-0.5*H63*AK63*I63*'Input data'!$B$19*D63/AF63)-'Input data'!$B$23</f>
        <v>-9.6668058747489791</v>
      </c>
      <c r="M63">
        <f>IF(AF63&gt;0,IF(P62&lt;=Param_1,M62,M62+(B64*'Input data'!$B$24)),M62)</f>
        <v>38.85328390569304</v>
      </c>
      <c r="N63">
        <f>IF(AF63&gt;0,IF(P62&lt;=Param_1,N62,N62+(C64*'Input data'!$B$24)),N62)</f>
        <v>0</v>
      </c>
      <c r="O63">
        <f t="shared" si="0"/>
        <v>0</v>
      </c>
      <c r="P63">
        <f>IF(P62&lt;=-100000,0,IF(AF63&gt;0,IF(P62&lt;Param_1,P62,P62+(D64*'Input data'!$B$24)),P62))</f>
        <v>182.40009825102499</v>
      </c>
      <c r="Q63">
        <f t="shared" si="2"/>
        <v>38.85328390569304</v>
      </c>
      <c r="T63">
        <f t="shared" si="3"/>
        <v>38.85328390569304</v>
      </c>
      <c r="U63">
        <f t="shared" si="4"/>
        <v>0</v>
      </c>
      <c r="V63" s="74">
        <f>IF(X63=0,'Input data'!$Q$22,Q63)</f>
        <v>38.85328390569304</v>
      </c>
      <c r="W63" s="74">
        <f>IF(U63=0,'Input data'!$Q$23,U63)</f>
        <v>0</v>
      </c>
      <c r="X63" s="74">
        <f t="shared" si="12"/>
        <v>182.40009825102499</v>
      </c>
      <c r="Y63">
        <f>IF(P62&lt;Param_1,Y62,A64*'Input data'!$B$25*SIN(RADIANS('Input data'!$B$10)))</f>
        <v>0</v>
      </c>
      <c r="Z63">
        <f>IF(P62&lt;Param_1,Z62,A64*'Input data'!$B$25*COS(RADIANS('Input data'!$B$10)))</f>
        <v>23.749999999999982</v>
      </c>
      <c r="AA63">
        <f t="shared" si="10"/>
        <v>5.6999999999999957</v>
      </c>
      <c r="AB63">
        <f t="shared" si="11"/>
        <v>5.1999999999999975</v>
      </c>
      <c r="AC63">
        <f>IF(ROUND(A63*10,3)='Input data'!$B$14*10,M63,0)</f>
        <v>0</v>
      </c>
      <c r="AD63">
        <f>IF(ROUND(A63*10,3)='Input data'!$B$14*10,N63,0)</f>
        <v>0</v>
      </c>
      <c r="AE63">
        <f>IF(ROUND(A63*10,3)='Input data'!$B$14*10,P63,0)</f>
        <v>0</v>
      </c>
      <c r="AF63">
        <f>IF('Input data'!$B$26="C",IF((3.14159265*1860/4)*((0.001*'Input data'!$B$20)-(2*'Input data'!$B$28*A63))^2*((0.33333*0.001*'Input data'!$B$20)-(2*'Input data'!$B$28*A63))&lt;0,(3.14159265*1860/4)*((0.001*'Input data'!$B$20)-(2*'Input data'!$B$28*A63))^2*((0.33333*0.001*'Input data'!$B$20)-(2*'Input data'!$B$28*A63)),(3.14159265*1860/4)*((0.001*'Input data'!$B$20)-(2*'Input data'!$B$28*A63))^2*((0.33333*0.001*'Input data'!$B$20)-(2*'Input data'!$B$28*A63))),'Input data'!$B$21)</f>
        <v>0.40680208090393727</v>
      </c>
      <c r="AG63">
        <f t="shared" si="6"/>
        <v>0</v>
      </c>
      <c r="AH63">
        <f t="shared" si="7"/>
        <v>0</v>
      </c>
      <c r="AI63">
        <f t="shared" si="13"/>
        <v>0</v>
      </c>
      <c r="AJ63">
        <f t="shared" si="9"/>
        <v>3000</v>
      </c>
      <c r="AK63">
        <f>IF('Input data'!$B$26="S",'Input data'!$B$22,3.1415*(('Input data'!$B$20*0.0005)-('Input data'!$B$28*A63))^2)</f>
        <v>7.8539816250000026E-3</v>
      </c>
    </row>
    <row r="64" spans="1:37" x14ac:dyDescent="0.2">
      <c r="A64" s="9">
        <f>A63+'Input data'!$B$24</f>
        <v>5.6999999999999957</v>
      </c>
      <c r="B64">
        <f>B63+(J63*'Input data'!$B$24)</f>
        <v>6.5053645756627008</v>
      </c>
      <c r="C64">
        <f>C63+(K63*'Input data'!$B$24)</f>
        <v>0</v>
      </c>
      <c r="D64">
        <f>D63+(L63*'Input data'!$B$24)</f>
        <v>-5.8187202013631119</v>
      </c>
      <c r="E64">
        <f>IF('Input data'!$B$13=2,'Input data'!$B$25*((0.1036*LN(ABS(P63+1)))+0.8731),IF('Input data'!$B$13=3,'Input data'!$B$25*((0.139*LN(ABS(P63+1)))+0.7503),'Input data'!$B$25))</f>
        <v>5.8876209245756721</v>
      </c>
      <c r="F64">
        <f>E64*COS(RADIANS('Input data'!$B$10))</f>
        <v>5.8876209245756721</v>
      </c>
      <c r="G64">
        <f>E64*SIN(RADIANS('Input data'!$B$10))</f>
        <v>0</v>
      </c>
      <c r="H64">
        <f>1.22*EXP(-0.0001065*(P63+'Input data'!$B$12))</f>
        <v>1.1965294580910915</v>
      </c>
      <c r="I64">
        <f t="shared" si="1"/>
        <v>5.8514196568191474</v>
      </c>
      <c r="J64">
        <f>-0.5*H64*I64*AK64*'Input data'!$B$19*(B64-F64)/AF64</f>
        <v>-2.104947813135602E-2</v>
      </c>
      <c r="K64">
        <f>-0.5*H64*I64*AK64*'Input data'!$B$19*(C64-G64)/AF64</f>
        <v>0</v>
      </c>
      <c r="L64">
        <f>(-0.5*H64*AK64*I64*'Input data'!$B$19*D64/AF64)-'Input data'!$B$23</f>
        <v>-9.606728397506723</v>
      </c>
      <c r="M64">
        <f>IF(AF64&gt;0,IF(P63&lt;=Param_1,M63,M63+(B65*'Input data'!$B$24)),M63)</f>
        <v>39.503609868477994</v>
      </c>
      <c r="N64">
        <f>IF(AF64&gt;0,IF(P63&lt;=Param_1,N63,N63+(C65*'Input data'!$B$24)),N63)</f>
        <v>0</v>
      </c>
      <c r="O64">
        <f t="shared" si="0"/>
        <v>0</v>
      </c>
      <c r="P64">
        <f>IF(P63&lt;=-100000,0,IF(AF64&gt;0,IF(P63&lt;Param_1,P63,P63+(D65*'Input data'!$B$24)),P63))</f>
        <v>181.72215894691359</v>
      </c>
      <c r="Q64">
        <f t="shared" si="2"/>
        <v>39.503609868477994</v>
      </c>
      <c r="T64">
        <f t="shared" si="3"/>
        <v>39.503609868477994</v>
      </c>
      <c r="U64">
        <f t="shared" si="4"/>
        <v>0</v>
      </c>
      <c r="V64" s="74">
        <f>IF(X64=0,'Input data'!$Q$22,Q64)</f>
        <v>39.503609868477994</v>
      </c>
      <c r="W64" s="74">
        <f>IF(U64=0,'Input data'!$Q$23,U64)</f>
        <v>0</v>
      </c>
      <c r="X64" s="74">
        <f t="shared" si="12"/>
        <v>181.72215894691359</v>
      </c>
      <c r="Y64">
        <f>IF(P63&lt;Param_1,Y63,A65*'Input data'!$B$25*SIN(RADIANS('Input data'!$B$10)))</f>
        <v>0</v>
      </c>
      <c r="Z64">
        <f>IF(P63&lt;Param_1,Z63,A65*'Input data'!$B$25*COS(RADIANS('Input data'!$B$10)))</f>
        <v>24.16666666666665</v>
      </c>
      <c r="AA64">
        <f t="shared" si="10"/>
        <v>5.7999999999999954</v>
      </c>
      <c r="AB64">
        <f t="shared" si="11"/>
        <v>5.1999999999999975</v>
      </c>
      <c r="AC64">
        <f>IF(ROUND(A64*10,3)='Input data'!$B$14*10,M64,0)</f>
        <v>0</v>
      </c>
      <c r="AD64">
        <f>IF(ROUND(A64*10,3)='Input data'!$B$14*10,N64,0)</f>
        <v>0</v>
      </c>
      <c r="AE64">
        <f>IF(ROUND(A64*10,3)='Input data'!$B$14*10,P64,0)</f>
        <v>0</v>
      </c>
      <c r="AF64">
        <f>IF('Input data'!$B$26="C",IF((3.14159265*1860/4)*((0.001*'Input data'!$B$20)-(2*'Input data'!$B$28*A64))^2*((0.33333*0.001*'Input data'!$B$20)-(2*'Input data'!$B$28*A64))&lt;0,(3.14159265*1860/4)*((0.001*'Input data'!$B$20)-(2*'Input data'!$B$28*A64))^2*((0.33333*0.001*'Input data'!$B$20)-(2*'Input data'!$B$28*A64)),(3.14159265*1860/4)*((0.001*'Input data'!$B$20)-(2*'Input data'!$B$28*A64))^2*((0.33333*0.001*'Input data'!$B$20)-(2*'Input data'!$B$28*A64))),'Input data'!$B$21)</f>
        <v>0.40680208090393727</v>
      </c>
      <c r="AG64">
        <f t="shared" si="6"/>
        <v>0</v>
      </c>
      <c r="AH64">
        <f t="shared" si="7"/>
        <v>0</v>
      </c>
      <c r="AI64">
        <f t="shared" si="13"/>
        <v>0</v>
      </c>
      <c r="AJ64">
        <f t="shared" si="9"/>
        <v>3000</v>
      </c>
      <c r="AK64">
        <f>IF('Input data'!$B$26="S",'Input data'!$B$22,3.1415*(('Input data'!$B$20*0.0005)-('Input data'!$B$28*A64))^2)</f>
        <v>7.8539816250000026E-3</v>
      </c>
    </row>
    <row r="65" spans="1:37" x14ac:dyDescent="0.2">
      <c r="A65" s="9">
        <f>A64+'Input data'!$B$24</f>
        <v>5.7999999999999954</v>
      </c>
      <c r="B65">
        <f>B64+(J64*'Input data'!$B$24)</f>
        <v>6.5032596278495651</v>
      </c>
      <c r="C65">
        <f>C64+(K64*'Input data'!$B$24)</f>
        <v>0</v>
      </c>
      <c r="D65">
        <f>D64+(L64*'Input data'!$B$24)</f>
        <v>-6.7793930411137842</v>
      </c>
      <c r="E65">
        <f>IF('Input data'!$B$13=2,'Input data'!$B$25*((0.1036*LN(ABS(P64+1)))+0.8731),IF('Input data'!$B$13=3,'Input data'!$B$25*((0.139*LN(ABS(P64+1)))+0.7503),'Input data'!$B$25))</f>
        <v>5.8860223102968741</v>
      </c>
      <c r="F65">
        <f>E65*COS(RADIANS('Input data'!$B$10))</f>
        <v>5.8860223102968741</v>
      </c>
      <c r="G65">
        <f>E65*SIN(RADIANS('Input data'!$B$10))</f>
        <v>0</v>
      </c>
      <c r="H65">
        <f>1.22*EXP(-0.0001065*(P64+'Input data'!$B$12))</f>
        <v>1.196615851277951</v>
      </c>
      <c r="I65">
        <f t="shared" si="1"/>
        <v>6.8074335775005288</v>
      </c>
      <c r="J65">
        <f>-0.5*H65*I65*AK65*'Input data'!$B$19*(B65-F65)/AF65</f>
        <v>-2.447026880709793E-2</v>
      </c>
      <c r="K65">
        <f>-0.5*H65*I65*AK65*'Input data'!$B$19*(C65-G65)/AF65</f>
        <v>0</v>
      </c>
      <c r="L65">
        <f>(-0.5*H65*AK65*I65*'Input data'!$B$19*D65/AF65)-'Input data'!$B$23</f>
        <v>-9.5362321122728257</v>
      </c>
      <c r="M65">
        <f>IF(AF65&gt;0,IF(P64&lt;=Param_1,M64,M64+(B66*'Input data'!$B$24)),M64)</f>
        <v>40.153691128574877</v>
      </c>
      <c r="N65">
        <f>IF(AF65&gt;0,IF(P64&lt;=Param_1,N64,N64+(C66*'Input data'!$B$24)),N64)</f>
        <v>0</v>
      </c>
      <c r="O65">
        <f t="shared" si="0"/>
        <v>0</v>
      </c>
      <c r="P65">
        <f>IF(P64&lt;=-100000,0,IF(AF65&gt;0,IF(P64&lt;Param_1,P64,P64+(D66*'Input data'!$B$24)),P64))</f>
        <v>180.9488573216795</v>
      </c>
      <c r="Q65">
        <f t="shared" si="2"/>
        <v>40.153691128574877</v>
      </c>
      <c r="T65">
        <f t="shared" si="3"/>
        <v>40.153691128574877</v>
      </c>
      <c r="U65">
        <f t="shared" si="4"/>
        <v>0</v>
      </c>
      <c r="V65" s="74">
        <f>IF(X65=0,'Input data'!$Q$22,Q65)</f>
        <v>40.153691128574877</v>
      </c>
      <c r="W65" s="74">
        <f>IF(U65=0,'Input data'!$Q$23,U65)</f>
        <v>0</v>
      </c>
      <c r="X65" s="74">
        <f t="shared" si="12"/>
        <v>180.9488573216795</v>
      </c>
      <c r="Y65">
        <f>IF(P64&lt;Param_1,Y64,A66*'Input data'!$B$25*SIN(RADIANS('Input data'!$B$10)))</f>
        <v>0</v>
      </c>
      <c r="Z65">
        <f>IF(P64&lt;Param_1,Z64,A66*'Input data'!$B$25*COS(RADIANS('Input data'!$B$10)))</f>
        <v>24.583333333333314</v>
      </c>
      <c r="AA65">
        <f t="shared" si="10"/>
        <v>5.899999999999995</v>
      </c>
      <c r="AB65">
        <f t="shared" si="11"/>
        <v>5.1999999999999975</v>
      </c>
      <c r="AC65">
        <f>IF(ROUND(A65*10,3)='Input data'!$B$14*10,M65,0)</f>
        <v>0</v>
      </c>
      <c r="AD65">
        <f>IF(ROUND(A65*10,3)='Input data'!$B$14*10,N65,0)</f>
        <v>0</v>
      </c>
      <c r="AE65">
        <f>IF(ROUND(A65*10,3)='Input data'!$B$14*10,P65,0)</f>
        <v>0</v>
      </c>
      <c r="AF65">
        <f>IF('Input data'!$B$26="C",IF((3.14159265*1860/4)*((0.001*'Input data'!$B$20)-(2*'Input data'!$B$28*A65))^2*((0.33333*0.001*'Input data'!$B$20)-(2*'Input data'!$B$28*A65))&lt;0,(3.14159265*1860/4)*((0.001*'Input data'!$B$20)-(2*'Input data'!$B$28*A65))^2*((0.33333*0.001*'Input data'!$B$20)-(2*'Input data'!$B$28*A65)),(3.14159265*1860/4)*((0.001*'Input data'!$B$20)-(2*'Input data'!$B$28*A65))^2*((0.33333*0.001*'Input data'!$B$20)-(2*'Input data'!$B$28*A65))),'Input data'!$B$21)</f>
        <v>0.40680208090393727</v>
      </c>
      <c r="AG65">
        <f t="shared" si="6"/>
        <v>0</v>
      </c>
      <c r="AH65">
        <f t="shared" si="7"/>
        <v>0</v>
      </c>
      <c r="AI65">
        <f t="shared" si="13"/>
        <v>0</v>
      </c>
      <c r="AJ65">
        <f t="shared" si="9"/>
        <v>3000</v>
      </c>
      <c r="AK65">
        <f>IF('Input data'!$B$26="S",'Input data'!$B$22,3.1415*(('Input data'!$B$20*0.0005)-('Input data'!$B$28*A65))^2)</f>
        <v>7.8539816250000026E-3</v>
      </c>
    </row>
    <row r="66" spans="1:37" x14ac:dyDescent="0.2">
      <c r="A66" s="9">
        <f>A65+'Input data'!$B$24</f>
        <v>5.899999999999995</v>
      </c>
      <c r="B66">
        <f>B65+(J65*'Input data'!$B$24)</f>
        <v>6.5008126009688549</v>
      </c>
      <c r="C66">
        <f>C65+(K65*'Input data'!$B$24)</f>
        <v>0</v>
      </c>
      <c r="D66">
        <f>D65+(L65*'Input data'!$B$24)</f>
        <v>-7.7330162523410664</v>
      </c>
      <c r="E66">
        <f>IF('Input data'!$B$13=2,'Input data'!$B$25*((0.1036*LN(ABS(P65+1)))+0.8731),IF('Input data'!$B$13=3,'Input data'!$B$25*((0.139*LN(ABS(P65+1)))+0.7503),'Input data'!$B$25))</f>
        <v>5.8841915695999196</v>
      </c>
      <c r="F66">
        <f>E66*COS(RADIANS('Input data'!$B$10))</f>
        <v>5.8841915695999196</v>
      </c>
      <c r="G66">
        <f>E66*SIN(RADIANS('Input data'!$B$10))</f>
        <v>0</v>
      </c>
      <c r="H66">
        <f>1.22*EXP(-0.0001065*(P65+'Input data'!$B$12))</f>
        <v>1.1967144045767979</v>
      </c>
      <c r="I66">
        <f t="shared" si="1"/>
        <v>7.757561592104671</v>
      </c>
      <c r="J66">
        <f>-0.5*H66*I66*AK66*'Input data'!$B$19*(B66-F66)/AF66</f>
        <v>-2.7860088085783892E-2</v>
      </c>
      <c r="K66">
        <f>-0.5*H66*I66*AK66*'Input data'!$B$19*(C66-G66)/AF66</f>
        <v>0</v>
      </c>
      <c r="L66">
        <f>(-0.5*H66*AK66*I66*'Input data'!$B$19*D66/AF66)-'Input data'!$B$23</f>
        <v>-9.4556079050195141</v>
      </c>
      <c r="M66">
        <f>IF(AF66&gt;0,IF(P65&lt;=Param_1,M65,M65+(B67*'Input data'!$B$24)),M65)</f>
        <v>40.803493787790906</v>
      </c>
      <c r="N66">
        <f>IF(AF66&gt;0,IF(P65&lt;=Param_1,N65,N65+(C67*'Input data'!$B$24)),N65)</f>
        <v>0</v>
      </c>
      <c r="O66">
        <f t="shared" si="0"/>
        <v>0</v>
      </c>
      <c r="P66">
        <f>IF(P65&lt;=-100000,0,IF(AF66&gt;0,IF(P65&lt;Param_1,P65,P65+(D67*'Input data'!$B$24)),P65))</f>
        <v>180.08099961739521</v>
      </c>
      <c r="Q66">
        <f t="shared" si="2"/>
        <v>40.803493787790906</v>
      </c>
      <c r="T66">
        <f t="shared" si="3"/>
        <v>40.803493787790906</v>
      </c>
      <c r="U66">
        <f t="shared" si="4"/>
        <v>0</v>
      </c>
      <c r="V66" s="74">
        <f>IF(X66=0,'Input data'!$Q$22,Q66)</f>
        <v>40.803493787790906</v>
      </c>
      <c r="W66" s="74">
        <f>IF(U66=0,'Input data'!$Q$23,U66)</f>
        <v>0</v>
      </c>
      <c r="X66" s="74">
        <f t="shared" si="12"/>
        <v>180.08099961739521</v>
      </c>
      <c r="Y66">
        <f>IF(P65&lt;Param_1,Y65,A67*'Input data'!$B$25*SIN(RADIANS('Input data'!$B$10)))</f>
        <v>0</v>
      </c>
      <c r="Z66">
        <f>IF(P65&lt;Param_1,Z65,A67*'Input data'!$B$25*COS(RADIANS('Input data'!$B$10)))</f>
        <v>24.999999999999979</v>
      </c>
      <c r="AA66">
        <f t="shared" si="10"/>
        <v>5.9999999999999947</v>
      </c>
      <c r="AB66">
        <f t="shared" si="11"/>
        <v>5.1999999999999975</v>
      </c>
      <c r="AC66">
        <f>IF(ROUND(A66*10,3)='Input data'!$B$14*10,M66,0)</f>
        <v>0</v>
      </c>
      <c r="AD66">
        <f>IF(ROUND(A66*10,3)='Input data'!$B$14*10,N66,0)</f>
        <v>0</v>
      </c>
      <c r="AE66">
        <f>IF(ROUND(A66*10,3)='Input data'!$B$14*10,P66,0)</f>
        <v>0</v>
      </c>
      <c r="AF66">
        <f>IF('Input data'!$B$26="C",IF((3.14159265*1860/4)*((0.001*'Input data'!$B$20)-(2*'Input data'!$B$28*A66))^2*((0.33333*0.001*'Input data'!$B$20)-(2*'Input data'!$B$28*A66))&lt;0,(3.14159265*1860/4)*((0.001*'Input data'!$B$20)-(2*'Input data'!$B$28*A66))^2*((0.33333*0.001*'Input data'!$B$20)-(2*'Input data'!$B$28*A66)),(3.14159265*1860/4)*((0.001*'Input data'!$B$20)-(2*'Input data'!$B$28*A66))^2*((0.33333*0.001*'Input data'!$B$20)-(2*'Input data'!$B$28*A66))),'Input data'!$B$21)</f>
        <v>0.40680208090393727</v>
      </c>
      <c r="AG66">
        <f t="shared" si="6"/>
        <v>0</v>
      </c>
      <c r="AH66">
        <f t="shared" si="7"/>
        <v>0</v>
      </c>
      <c r="AI66">
        <f>IF(AF66=0,P66,0)</f>
        <v>0</v>
      </c>
      <c r="AJ66">
        <f t="shared" si="9"/>
        <v>3000</v>
      </c>
      <c r="AK66">
        <f>IF('Input data'!$B$26="S",'Input data'!$B$22,3.1415*(('Input data'!$B$20*0.0005)-('Input data'!$B$28*A66))^2)</f>
        <v>7.8539816250000026E-3</v>
      </c>
    </row>
    <row r="67" spans="1:37" x14ac:dyDescent="0.2">
      <c r="A67" s="9">
        <f>A66+'Input data'!$B$24</f>
        <v>5.9999999999999947</v>
      </c>
      <c r="B67">
        <f>B66+(J66*'Input data'!$B$24)</f>
        <v>6.4980265921602767</v>
      </c>
      <c r="C67">
        <f>C66+(K66*'Input data'!$B$24)</f>
        <v>0</v>
      </c>
      <c r="D67">
        <f>D66+(L66*'Input data'!$B$24)</f>
        <v>-8.6785770428430169</v>
      </c>
      <c r="E67">
        <f>IF('Input data'!$B$13=2,'Input data'!$B$25*((0.1036*LN(ABS(P66+1)))+0.8731),IF('Input data'!$B$13=3,'Input data'!$B$25*((0.139*LN(ABS(P66+1)))+0.7503),'Input data'!$B$25))</f>
        <v>5.882127684501512</v>
      </c>
      <c r="F67">
        <f>E67*COS(RADIANS('Input data'!$B$10))</f>
        <v>5.882127684501512</v>
      </c>
      <c r="G67">
        <f>E67*SIN(RADIANS('Input data'!$B$10))</f>
        <v>0</v>
      </c>
      <c r="H67">
        <f>1.22*EXP(-0.0001065*(P66+'Input data'!$B$12))</f>
        <v>1.1968250182259415</v>
      </c>
      <c r="I67">
        <f t="shared" si="1"/>
        <v>8.7004040683761978</v>
      </c>
      <c r="J67">
        <f>-0.5*H67*I67*AK67*'Input data'!$B$19*(B67-F67)/AF67</f>
        <v>-3.121245409228245E-2</v>
      </c>
      <c r="K67">
        <f>-0.5*H67*I67*AK67*'Input data'!$B$19*(C67-G67)/AF67</f>
        <v>0</v>
      </c>
      <c r="L67">
        <f>(-0.5*H67*AK67*I67*'Input data'!$B$19*D67/AF67)-'Input data'!$B$23</f>
        <v>-9.3651880695554777</v>
      </c>
      <c r="M67">
        <f>IF(AF67&gt;0,IF(P66&lt;=Param_1,M66,M66+(B68*'Input data'!$B$24)),M66)</f>
        <v>41.452984322466008</v>
      </c>
      <c r="N67">
        <f>IF(AF67&gt;0,IF(P66&lt;=Param_1,N66,N66+(C68*'Input data'!$B$24)),N66)</f>
        <v>0</v>
      </c>
      <c r="O67">
        <f t="shared" si="0"/>
        <v>0</v>
      </c>
      <c r="P67">
        <f>IF(P66&lt;=-100000,0,IF(AF67&gt;0,IF(P66&lt;Param_1,P66,P66+(D68*'Input data'!$B$24)),P66))</f>
        <v>179.11949003241534</v>
      </c>
      <c r="Q67">
        <f t="shared" si="2"/>
        <v>41.452984322466008</v>
      </c>
      <c r="T67">
        <f t="shared" si="3"/>
        <v>41.452984322466008</v>
      </c>
      <c r="U67">
        <f t="shared" si="4"/>
        <v>0</v>
      </c>
      <c r="V67" s="74">
        <f>IF(X67=0,'Input data'!$Q$22,Q67)</f>
        <v>41.452984322466008</v>
      </c>
      <c r="W67" s="74">
        <f>IF(U67=0,'Input data'!$Q$23,U67)</f>
        <v>0</v>
      </c>
      <c r="X67" s="74">
        <f t="shared" si="12"/>
        <v>179.11949003241534</v>
      </c>
      <c r="Y67">
        <f>IF(P66&lt;Param_1,Y66,A68*'Input data'!$B$25*SIN(RADIANS('Input data'!$B$10)))</f>
        <v>0</v>
      </c>
      <c r="Z67">
        <f>IF(P66&lt;Param_1,Z66,A68*'Input data'!$B$25*COS(RADIANS('Input data'!$B$10)))</f>
        <v>25.416666666666647</v>
      </c>
      <c r="AA67">
        <f t="shared" si="10"/>
        <v>6.0999999999999943</v>
      </c>
      <c r="AB67">
        <f t="shared" si="11"/>
        <v>5.1999999999999975</v>
      </c>
      <c r="AC67">
        <f>IF(ROUND(A67*10,3)='Input data'!$B$14*10,M67,0)</f>
        <v>0</v>
      </c>
      <c r="AD67">
        <f>IF(ROUND(A67*10,3)='Input data'!$B$14*10,N67,0)</f>
        <v>0</v>
      </c>
      <c r="AE67">
        <f>IF(ROUND(A67*10,3)='Input data'!$B$14*10,P67,0)</f>
        <v>0</v>
      </c>
      <c r="AF67">
        <f>IF('Input data'!$B$26="C",IF((3.14159265*1860/4)*((0.001*'Input data'!$B$20)-(2*'Input data'!$B$28*A67))^2*((0.33333*0.001*'Input data'!$B$20)-(2*'Input data'!$B$28*A67))&lt;0,(3.14159265*1860/4)*((0.001*'Input data'!$B$20)-(2*'Input data'!$B$28*A67))^2*((0.33333*0.001*'Input data'!$B$20)-(2*'Input data'!$B$28*A67)),(3.14159265*1860/4)*((0.001*'Input data'!$B$20)-(2*'Input data'!$B$28*A67))^2*((0.33333*0.001*'Input data'!$B$20)-(2*'Input data'!$B$28*A67))),'Input data'!$B$21)</f>
        <v>0.40680208090393727</v>
      </c>
      <c r="AG67">
        <f t="shared" si="6"/>
        <v>0</v>
      </c>
      <c r="AH67">
        <f t="shared" si="7"/>
        <v>0</v>
      </c>
      <c r="AI67">
        <f t="shared" ref="AI67:AI98" si="14">IF(AF67&lt;=0,P67,0)</f>
        <v>0</v>
      </c>
      <c r="AJ67">
        <f t="shared" si="9"/>
        <v>3000</v>
      </c>
      <c r="AK67">
        <f>IF('Input data'!$B$26="S",'Input data'!$B$22,3.1415*(('Input data'!$B$20*0.0005)-('Input data'!$B$28*A67))^2)</f>
        <v>7.8539816250000026E-3</v>
      </c>
    </row>
    <row r="68" spans="1:37" x14ac:dyDescent="0.2">
      <c r="A68" s="9">
        <f>A67+'Input data'!$B$24</f>
        <v>6.0999999999999943</v>
      </c>
      <c r="B68">
        <f>B67+(J67*'Input data'!$B$24)</f>
        <v>6.4949053467510485</v>
      </c>
      <c r="C68">
        <f>C67+(K67*'Input data'!$B$24)</f>
        <v>0</v>
      </c>
      <c r="D68">
        <f>D67+(L67*'Input data'!$B$24)</f>
        <v>-9.6150958497985641</v>
      </c>
      <c r="E68">
        <f>IF('Input data'!$B$13=2,'Input data'!$B$25*((0.1036*LN(ABS(P67+1)))+0.8731),IF('Input data'!$B$13=3,'Input data'!$B$25*((0.139*LN(ABS(P67+1)))+0.7503),'Input data'!$B$25))</f>
        <v>5.8798295003639645</v>
      </c>
      <c r="F68">
        <f>E68*COS(RADIANS('Input data'!$B$10))</f>
        <v>5.8798295003639645</v>
      </c>
      <c r="G68">
        <f>E68*SIN(RADIANS('Input data'!$B$10))</f>
        <v>0</v>
      </c>
      <c r="H68">
        <f>1.22*EXP(-0.0001065*(P67+'Input data'!$B$12))</f>
        <v>1.1969475803054392</v>
      </c>
      <c r="I68">
        <f t="shared" si="1"/>
        <v>9.6347489068279497</v>
      </c>
      <c r="J68">
        <f>-0.5*H68*I68*AK68*'Input data'!$B$19*(B68-F68)/AF68</f>
        <v>-3.4521734316784548E-2</v>
      </c>
      <c r="K68">
        <f>-0.5*H68*I68*AK68*'Input data'!$B$19*(C68-G68)/AF68</f>
        <v>0</v>
      </c>
      <c r="L68">
        <f>(-0.5*H68*AK68*I68*'Input data'!$B$19*D68/AF68)-'Input data'!$B$23</f>
        <v>-9.2653433278889121</v>
      </c>
      <c r="M68">
        <f>IF(AF68&gt;0,IF(P67&lt;=Param_1,M67,M67+(B69*'Input data'!$B$24)),M67)</f>
        <v>42.102129639797944</v>
      </c>
      <c r="N68">
        <f>IF(AF68&gt;0,IF(P67&lt;=Param_1,N67,N67+(C69*'Input data'!$B$24)),N67)</f>
        <v>0</v>
      </c>
      <c r="O68">
        <f t="shared" si="0"/>
        <v>0</v>
      </c>
      <c r="P68">
        <f>IF(P67&lt;=-100000,0,IF(AF68&gt;0,IF(P67&lt;Param_1,P67,P67+(D69*'Input data'!$B$24)),P67))</f>
        <v>178.06532701415659</v>
      </c>
      <c r="Q68">
        <f t="shared" si="2"/>
        <v>42.102129639797944</v>
      </c>
      <c r="T68">
        <f t="shared" si="3"/>
        <v>42.102129639797944</v>
      </c>
      <c r="U68">
        <f t="shared" si="4"/>
        <v>0</v>
      </c>
      <c r="V68" s="74">
        <f>IF(X68=0,'Input data'!$Q$22,Q68)</f>
        <v>42.102129639797944</v>
      </c>
      <c r="W68" s="74">
        <f>IF(U68=0,'Input data'!$Q$23,U68)</f>
        <v>0</v>
      </c>
      <c r="X68" s="74">
        <f t="shared" si="12"/>
        <v>178.06532701415659</v>
      </c>
      <c r="Y68">
        <f>IF(P67&lt;Param_1,Y67,A69*'Input data'!$B$25*SIN(RADIANS('Input data'!$B$10)))</f>
        <v>0</v>
      </c>
      <c r="Z68">
        <f>IF(P67&lt;Param_1,Z67,A69*'Input data'!$B$25*COS(RADIANS('Input data'!$B$10)))</f>
        <v>25.833333333333311</v>
      </c>
      <c r="AA68">
        <f t="shared" si="10"/>
        <v>6.199999999999994</v>
      </c>
      <c r="AB68">
        <f t="shared" si="11"/>
        <v>5.1999999999999975</v>
      </c>
      <c r="AC68">
        <f>IF(ROUND(A68*10,3)='Input data'!$B$14*10,M68,0)</f>
        <v>0</v>
      </c>
      <c r="AD68">
        <f>IF(ROUND(A68*10,3)='Input data'!$B$14*10,N68,0)</f>
        <v>0</v>
      </c>
      <c r="AE68">
        <f>IF(ROUND(A68*10,3)='Input data'!$B$14*10,P68,0)</f>
        <v>0</v>
      </c>
      <c r="AF68">
        <f>IF('Input data'!$B$26="C",IF((3.14159265*1860/4)*((0.001*'Input data'!$B$20)-(2*'Input data'!$B$28*A68))^2*((0.33333*0.001*'Input data'!$B$20)-(2*'Input data'!$B$28*A68))&lt;0,(3.14159265*1860/4)*((0.001*'Input data'!$B$20)-(2*'Input data'!$B$28*A68))^2*((0.33333*0.001*'Input data'!$B$20)-(2*'Input data'!$B$28*A68)),(3.14159265*1860/4)*((0.001*'Input data'!$B$20)-(2*'Input data'!$B$28*A68))^2*((0.33333*0.001*'Input data'!$B$20)-(2*'Input data'!$B$28*A68))),'Input data'!$B$21)</f>
        <v>0.40680208090393727</v>
      </c>
      <c r="AG68">
        <f t="shared" si="6"/>
        <v>0</v>
      </c>
      <c r="AH68">
        <f t="shared" si="7"/>
        <v>0</v>
      </c>
      <c r="AI68">
        <f t="shared" si="14"/>
        <v>0</v>
      </c>
      <c r="AJ68">
        <f t="shared" si="9"/>
        <v>3000</v>
      </c>
      <c r="AK68">
        <f>IF('Input data'!$B$26="S",'Input data'!$B$22,3.1415*(('Input data'!$B$20*0.0005)-('Input data'!$B$28*A68))^2)</f>
        <v>7.8539816250000026E-3</v>
      </c>
    </row>
    <row r="69" spans="1:37" x14ac:dyDescent="0.2">
      <c r="A69" s="9">
        <f>A68+'Input data'!$B$24</f>
        <v>6.199999999999994</v>
      </c>
      <c r="B69">
        <f>B68+(J68*'Input data'!$B$24)</f>
        <v>6.4914531733193703</v>
      </c>
      <c r="C69">
        <f>C68+(K68*'Input data'!$B$24)</f>
        <v>0</v>
      </c>
      <c r="D69">
        <f>D68+(L68*'Input data'!$B$24)</f>
        <v>-10.541630182587456</v>
      </c>
      <c r="E69">
        <f>IF('Input data'!$B$13=2,'Input data'!$B$25*((0.1036*LN(ABS(P68+1)))+0.8731),IF('Input data'!$B$13=3,'Input data'!$B$25*((0.139*LN(ABS(P68+1)))+0.7503),'Input data'!$B$25))</f>
        <v>5.8772957165226591</v>
      </c>
      <c r="F69">
        <f>E69*COS(RADIANS('Input data'!$B$10))</f>
        <v>5.8772957165226591</v>
      </c>
      <c r="G69">
        <f>E69*SIN(RADIANS('Input data'!$B$10))</f>
        <v>0</v>
      </c>
      <c r="H69">
        <f>1.22*EXP(-0.0001065*(P68+'Input data'!$B$12))</f>
        <v>1.1970819671925719</v>
      </c>
      <c r="I69">
        <f t="shared" si="1"/>
        <v>10.559505494490631</v>
      </c>
      <c r="J69">
        <f>-0.5*H69*I69*AK69*'Input data'!$B$19*(B69-F69)/AF69</f>
        <v>-3.7782927008567765E-2</v>
      </c>
      <c r="K69">
        <f>-0.5*H69*I69*AK69*'Input data'!$B$19*(C69-G69)/AF69</f>
        <v>0</v>
      </c>
      <c r="L69">
        <f>(-0.5*H69*AK69*I69*'Input data'!$B$19*D69/AF69)-'Input data'!$B$23</f>
        <v>-9.1564795931691272</v>
      </c>
      <c r="M69">
        <f>IF(AF69&gt;0,IF(P68&lt;=Param_1,M68,M68+(B70*'Input data'!$B$24)),M68)</f>
        <v>42.750897127859794</v>
      </c>
      <c r="N69">
        <f>IF(AF69&gt;0,IF(P68&lt;=Param_1,N68,N68+(C70*'Input data'!$B$24)),N68)</f>
        <v>0</v>
      </c>
      <c r="O69">
        <f t="shared" si="0"/>
        <v>0</v>
      </c>
      <c r="P69">
        <f>IF(P68&lt;=-100000,0,IF(AF69&gt;0,IF(P68&lt;Param_1,P68,P68+(D70*'Input data'!$B$24)),P68))</f>
        <v>176.91959919996617</v>
      </c>
      <c r="Q69">
        <f t="shared" si="2"/>
        <v>42.750897127859794</v>
      </c>
      <c r="T69">
        <f t="shared" si="3"/>
        <v>42.750897127859794</v>
      </c>
      <c r="U69">
        <f t="shared" si="4"/>
        <v>0</v>
      </c>
      <c r="V69" s="74">
        <f>IF(X69=0,'Input data'!$Q$22,Q69)</f>
        <v>42.750897127859794</v>
      </c>
      <c r="W69" s="74">
        <f>IF(U69=0,'Input data'!$Q$23,U69)</f>
        <v>0</v>
      </c>
      <c r="X69" s="74">
        <f t="shared" si="12"/>
        <v>176.91959919996617</v>
      </c>
      <c r="Y69">
        <f>IF(P68&lt;Param_1,Y68,A70*'Input data'!$B$25*SIN(RADIANS('Input data'!$B$10)))</f>
        <v>0</v>
      </c>
      <c r="Z69">
        <f>IF(P68&lt;Param_1,Z68,A70*'Input data'!$B$25*COS(RADIANS('Input data'!$B$10)))</f>
        <v>26.249999999999975</v>
      </c>
      <c r="AA69">
        <f t="shared" si="10"/>
        <v>6.2999999999999936</v>
      </c>
      <c r="AB69">
        <f t="shared" si="11"/>
        <v>5.1999999999999975</v>
      </c>
      <c r="AC69">
        <f>IF(ROUND(A69*10,3)='Input data'!$B$14*10,M69,0)</f>
        <v>0</v>
      </c>
      <c r="AD69">
        <f>IF(ROUND(A69*10,3)='Input data'!$B$14*10,N69,0)</f>
        <v>0</v>
      </c>
      <c r="AE69">
        <f>IF(ROUND(A69*10,3)='Input data'!$B$14*10,P69,0)</f>
        <v>0</v>
      </c>
      <c r="AF69">
        <f>IF('Input data'!$B$26="C",IF((3.14159265*1860/4)*((0.001*'Input data'!$B$20)-(2*'Input data'!$B$28*A69))^2*((0.33333*0.001*'Input data'!$B$20)-(2*'Input data'!$B$28*A69))&lt;0,(3.14159265*1860/4)*((0.001*'Input data'!$B$20)-(2*'Input data'!$B$28*A69))^2*((0.33333*0.001*'Input data'!$B$20)-(2*'Input data'!$B$28*A69)),(3.14159265*1860/4)*((0.001*'Input data'!$B$20)-(2*'Input data'!$B$28*A69))^2*((0.33333*0.001*'Input data'!$B$20)-(2*'Input data'!$B$28*A69))),'Input data'!$B$21)</f>
        <v>0.40680208090393727</v>
      </c>
      <c r="AG69">
        <f t="shared" si="6"/>
        <v>0</v>
      </c>
      <c r="AH69">
        <f t="shared" si="7"/>
        <v>0</v>
      </c>
      <c r="AI69">
        <f t="shared" si="14"/>
        <v>0</v>
      </c>
      <c r="AJ69">
        <f t="shared" si="9"/>
        <v>3000</v>
      </c>
      <c r="AK69">
        <f>IF('Input data'!$B$26="S",'Input data'!$B$22,3.1415*(('Input data'!$B$20*0.0005)-('Input data'!$B$28*A69))^2)</f>
        <v>7.8539816250000026E-3</v>
      </c>
    </row>
    <row r="70" spans="1:37" x14ac:dyDescent="0.2">
      <c r="A70" s="9">
        <f>A69+'Input data'!$B$24</f>
        <v>6.2999999999999936</v>
      </c>
      <c r="B70">
        <f>B69+(J69*'Input data'!$B$24)</f>
        <v>6.4876748806185134</v>
      </c>
      <c r="C70">
        <f>C69+(K69*'Input data'!$B$24)</f>
        <v>0</v>
      </c>
      <c r="D70">
        <f>D69+(L69*'Input data'!$B$24)</f>
        <v>-11.457278141904368</v>
      </c>
      <c r="E70">
        <f>IF('Input data'!$B$13=2,'Input data'!$B$25*((0.1036*LN(ABS(P69+1)))+0.8731),IF('Input data'!$B$13=3,'Input data'!$B$25*((0.139*LN(ABS(P69+1)))+0.7503),'Input data'!$B$25))</f>
        <v>5.8745248756927788</v>
      </c>
      <c r="F70">
        <f>E70*COS(RADIANS('Input data'!$B$10))</f>
        <v>5.8745248756927788</v>
      </c>
      <c r="G70">
        <f>E70*SIN(RADIANS('Input data'!$B$10))</f>
        <v>0</v>
      </c>
      <c r="H70">
        <f>1.22*EXP(-0.0001065*(P69+'Input data'!$B$12))</f>
        <v>1.1972280440607961</v>
      </c>
      <c r="I70">
        <f t="shared" si="1"/>
        <v>11.473673141130526</v>
      </c>
      <c r="J70">
        <f>-0.5*H70*I70*AK70*'Input data'!$B$19*(B70-F70)/AF70</f>
        <v>-4.0991564297430089E-2</v>
      </c>
      <c r="K70">
        <f>-0.5*H70*I70*AK70*'Input data'!$B$19*(C70-G70)/AF70</f>
        <v>0</v>
      </c>
      <c r="L70">
        <f>(-0.5*H70*AK70*I70*'Input data'!$B$19*D70/AF70)-'Input data'!$B$23</f>
        <v>-9.0390344942437082</v>
      </c>
      <c r="M70">
        <f>IF(AF70&gt;0,IF(P69&lt;=Param_1,M69,M69+(B71*'Input data'!$B$24)),M69)</f>
        <v>43.399254700278668</v>
      </c>
      <c r="N70">
        <f>IF(AF70&gt;0,IF(P69&lt;=Param_1,N69,N69+(C71*'Input data'!$B$24)),N69)</f>
        <v>0</v>
      </c>
      <c r="O70">
        <f t="shared" ref="O70:O133" si="15">ABS(N70)</f>
        <v>0</v>
      </c>
      <c r="P70">
        <f>IF(P69&lt;=-100000,0,IF(AF70&gt;0,IF(P69&lt;Param_1,P69,P69+(D71*'Input data'!$B$24)),P69))</f>
        <v>175.6834810408333</v>
      </c>
      <c r="Q70">
        <f t="shared" si="2"/>
        <v>43.399254700278668</v>
      </c>
      <c r="T70">
        <f t="shared" si="3"/>
        <v>43.399254700278668</v>
      </c>
      <c r="U70">
        <f t="shared" si="4"/>
        <v>0</v>
      </c>
      <c r="V70" s="74">
        <f>IF(X70=0,'Input data'!$Q$22,Q70)</f>
        <v>43.399254700278668</v>
      </c>
      <c r="W70" s="74">
        <f>IF(U70=0,'Input data'!$Q$23,U70)</f>
        <v>0</v>
      </c>
      <c r="X70" s="74">
        <f t="shared" si="12"/>
        <v>175.6834810408333</v>
      </c>
      <c r="Y70">
        <f>IF(P69&lt;Param_1,Y69,A71*'Input data'!$B$25*SIN(RADIANS('Input data'!$B$10)))</f>
        <v>0</v>
      </c>
      <c r="Z70">
        <f>IF(P69&lt;Param_1,Z69,A71*'Input data'!$B$25*COS(RADIANS('Input data'!$B$10)))</f>
        <v>26.666666666666639</v>
      </c>
      <c r="AA70">
        <f t="shared" si="10"/>
        <v>6.3999999999999932</v>
      </c>
      <c r="AB70">
        <f t="shared" si="11"/>
        <v>5.1999999999999975</v>
      </c>
      <c r="AC70">
        <f>IF(ROUND(A70*10,3)='Input data'!$B$14*10,M70,0)</f>
        <v>0</v>
      </c>
      <c r="AD70">
        <f>IF(ROUND(A70*10,3)='Input data'!$B$14*10,N70,0)</f>
        <v>0</v>
      </c>
      <c r="AE70">
        <f>IF(ROUND(A70*10,3)='Input data'!$B$14*10,P70,0)</f>
        <v>0</v>
      </c>
      <c r="AF70">
        <f>IF('Input data'!$B$26="C",IF((3.14159265*1860/4)*((0.001*'Input data'!$B$20)-(2*'Input data'!$B$28*A70))^2*((0.33333*0.001*'Input data'!$B$20)-(2*'Input data'!$B$28*A70))&lt;0,(3.14159265*1860/4)*((0.001*'Input data'!$B$20)-(2*'Input data'!$B$28*A70))^2*((0.33333*0.001*'Input data'!$B$20)-(2*'Input data'!$B$28*A70)),(3.14159265*1860/4)*((0.001*'Input data'!$B$20)-(2*'Input data'!$B$28*A70))^2*((0.33333*0.001*'Input data'!$B$20)-(2*'Input data'!$B$28*A70))),'Input data'!$B$21)</f>
        <v>0.40680208090393727</v>
      </c>
      <c r="AG70">
        <f t="shared" si="6"/>
        <v>0</v>
      </c>
      <c r="AH70">
        <f t="shared" si="7"/>
        <v>0</v>
      </c>
      <c r="AI70">
        <f t="shared" si="14"/>
        <v>0</v>
      </c>
      <c r="AJ70">
        <f t="shared" si="9"/>
        <v>3000</v>
      </c>
      <c r="AK70">
        <f>IF('Input data'!$B$26="S",'Input data'!$B$22,3.1415*(('Input data'!$B$20*0.0005)-('Input data'!$B$28*A70))^2)</f>
        <v>7.8539816250000026E-3</v>
      </c>
    </row>
    <row r="71" spans="1:37" x14ac:dyDescent="0.2">
      <c r="A71" s="9">
        <f>A70+'Input data'!$B$24</f>
        <v>6.3999999999999932</v>
      </c>
      <c r="B71">
        <f>B70+(J70*'Input data'!$B$24)</f>
        <v>6.4835757241887704</v>
      </c>
      <c r="C71">
        <f>C70+(K70*'Input data'!$B$24)</f>
        <v>0</v>
      </c>
      <c r="D71">
        <f>D70+(L70*'Input data'!$B$24)</f>
        <v>-12.361181591328739</v>
      </c>
      <c r="E71">
        <f>IF('Input data'!$B$13=2,'Input data'!$B$25*((0.1036*LN(ABS(P70+1)))+0.8731),IF('Input data'!$B$13=3,'Input data'!$B$25*((0.139*LN(ABS(P70+1)))+0.7503),'Input data'!$B$25))</f>
        <v>5.8715153521074335</v>
      </c>
      <c r="F71">
        <f>E71*COS(RADIANS('Input data'!$B$10))</f>
        <v>5.8715153521074335</v>
      </c>
      <c r="G71">
        <f>E71*SIN(RADIANS('Input data'!$B$10))</f>
        <v>0</v>
      </c>
      <c r="H71">
        <f>1.22*EXP(-0.0001065*(P70+'Input data'!$B$12))</f>
        <v>1.197385665417932</v>
      </c>
      <c r="I71">
        <f t="shared" ref="I71:I134" si="16">SQRT(((B71-F71)^2)+((C71-G71)^2)+(D71^2))</f>
        <v>12.376325312178768</v>
      </c>
      <c r="J71">
        <f>-0.5*H71*I71*AK71*'Input data'!$B$19*(B71-F71)/AF71</f>
        <v>-4.414366972438595E-2</v>
      </c>
      <c r="K71">
        <f>-0.5*H71*I71*AK71*'Input data'!$B$19*(C71-G71)/AF71</f>
        <v>0</v>
      </c>
      <c r="L71">
        <f>(-0.5*H71*AK71*I71*'Input data'!$B$19*D71/AF71)-'Input data'!$B$23</f>
        <v>-8.9134737021689396</v>
      </c>
      <c r="M71">
        <f>IF(AF71&gt;0,IF(P70&lt;=Param_1,M70,M70+(B72*'Input data'!$B$24)),M70)</f>
        <v>44.047170836000298</v>
      </c>
      <c r="N71">
        <f>IF(AF71&gt;0,IF(P70&lt;=Param_1,N70,N70+(C72*'Input data'!$B$24)),N70)</f>
        <v>0</v>
      </c>
      <c r="O71">
        <f t="shared" si="15"/>
        <v>0</v>
      </c>
      <c r="P71">
        <f>IF(P70&lt;=-100000,0,IF(AF71&gt;0,IF(P70&lt;Param_1,P70,P70+(D72*'Input data'!$B$24)),P70))</f>
        <v>174.35822814467875</v>
      </c>
      <c r="Q71">
        <f t="shared" ref="Q71:Q134" si="17">IF(P71=0,0,M71)</f>
        <v>44.047170836000298</v>
      </c>
      <c r="T71">
        <f t="shared" ref="T71:T134" si="18">IF(X71=0,0,Q71)</f>
        <v>44.047170836000298</v>
      </c>
      <c r="U71">
        <f t="shared" ref="U71:U134" si="19">IF(X71=0,0,N71)</f>
        <v>0</v>
      </c>
      <c r="V71" s="74">
        <f>IF(X71=0,'Input data'!$Q$22,Q71)</f>
        <v>44.047170836000298</v>
      </c>
      <c r="W71" s="74">
        <f>IF(U71=0,'Input data'!$Q$23,U71)</f>
        <v>0</v>
      </c>
      <c r="X71" s="74">
        <f t="shared" si="12"/>
        <v>174.35822814467875</v>
      </c>
      <c r="Y71">
        <f>IF(P70&lt;Param_1,Y70,A72*'Input data'!$B$25*SIN(RADIANS('Input data'!$B$10)))</f>
        <v>0</v>
      </c>
      <c r="Z71">
        <f>IF(P70&lt;Param_1,Z70,A72*'Input data'!$B$25*COS(RADIANS('Input data'!$B$10)))</f>
        <v>27.083333333333307</v>
      </c>
      <c r="AA71">
        <f t="shared" si="10"/>
        <v>6.4999999999999929</v>
      </c>
      <c r="AB71">
        <f t="shared" si="11"/>
        <v>5.1999999999999975</v>
      </c>
      <c r="AC71">
        <f>IF(ROUND(A71*10,3)='Input data'!$B$14*10,M71,0)</f>
        <v>0</v>
      </c>
      <c r="AD71">
        <f>IF(ROUND(A71*10,3)='Input data'!$B$14*10,N71,0)</f>
        <v>0</v>
      </c>
      <c r="AE71">
        <f>IF(ROUND(A71*10,3)='Input data'!$B$14*10,P71,0)</f>
        <v>0</v>
      </c>
      <c r="AF71">
        <f>IF('Input data'!$B$26="C",IF((3.14159265*1860/4)*((0.001*'Input data'!$B$20)-(2*'Input data'!$B$28*A71))^2*((0.33333*0.001*'Input data'!$B$20)-(2*'Input data'!$B$28*A71))&lt;0,(3.14159265*1860/4)*((0.001*'Input data'!$B$20)-(2*'Input data'!$B$28*A71))^2*((0.33333*0.001*'Input data'!$B$20)-(2*'Input data'!$B$28*A71)),(3.14159265*1860/4)*((0.001*'Input data'!$B$20)-(2*'Input data'!$B$28*A71))^2*((0.33333*0.001*'Input data'!$B$20)-(2*'Input data'!$B$28*A71))),'Input data'!$B$21)</f>
        <v>0.40680208090393727</v>
      </c>
      <c r="AG71">
        <f t="shared" ref="AG71:AG134" si="20">IF(AF71&lt;=0,M71,0)</f>
        <v>0</v>
      </c>
      <c r="AH71">
        <f t="shared" ref="AH71:AH134" si="21">IF(AF71&lt;=0,N71,0)</f>
        <v>0</v>
      </c>
      <c r="AI71">
        <f t="shared" si="14"/>
        <v>0</v>
      </c>
      <c r="AJ71">
        <f t="shared" ref="AJ71:AJ134" si="22">IF(AF71&lt;=0,AA71,3000)</f>
        <v>3000</v>
      </c>
      <c r="AK71">
        <f>IF('Input data'!$B$26="S",'Input data'!$B$22,3.1415*(('Input data'!$B$20*0.0005)-('Input data'!$B$28*A71))^2)</f>
        <v>7.8539816250000026E-3</v>
      </c>
    </row>
    <row r="72" spans="1:37" x14ac:dyDescent="0.2">
      <c r="A72" s="9">
        <f>A71+'Input data'!$B$24</f>
        <v>6.4999999999999929</v>
      </c>
      <c r="B72">
        <f>B71+(J71*'Input data'!$B$24)</f>
        <v>6.4791613572163316</v>
      </c>
      <c r="C72">
        <f>C71+(K71*'Input data'!$B$24)</f>
        <v>0</v>
      </c>
      <c r="D72">
        <f>D71+(L71*'Input data'!$B$24)</f>
        <v>-13.252528961545632</v>
      </c>
      <c r="E72">
        <f>IF('Input data'!$B$13=2,'Input data'!$B$25*((0.1036*LN(ABS(P71+1)))+0.8731),IF('Input data'!$B$13=3,'Input data'!$B$25*((0.139*LN(ABS(P71+1)))+0.7503),'Input data'!$B$25))</f>
        <v>5.8682653383301977</v>
      </c>
      <c r="F72">
        <f>E72*COS(RADIANS('Input data'!$B$10))</f>
        <v>5.8682653383301977</v>
      </c>
      <c r="G72">
        <f>E72*SIN(RADIANS('Input data'!$B$10))</f>
        <v>0</v>
      </c>
      <c r="H72">
        <f>1.22*EXP(-0.0001065*(P71+'Input data'!$B$12))</f>
        <v>1.1975546756790845</v>
      </c>
      <c r="I72">
        <f t="shared" si="16"/>
        <v>13.266601592815572</v>
      </c>
      <c r="J72">
        <f>-0.5*H72*I72*AK72*'Input data'!$B$19*(B72-F72)/AF72</f>
        <v>-4.7235741111993246E-2</v>
      </c>
      <c r="K72">
        <f>-0.5*H72*I72*AK72*'Input data'!$B$19*(C72-G72)/AF72</f>
        <v>0</v>
      </c>
      <c r="L72">
        <f>(-0.5*H72*AK72*I72*'Input data'!$B$19*D72/AF72)-'Input data'!$B$23</f>
        <v>-8.7802871065551304</v>
      </c>
      <c r="M72">
        <f>IF(AF72&gt;0,IF(P71&lt;=Param_1,M71,M71+(B73*'Input data'!$B$24)),M71)</f>
        <v>44.694614614310808</v>
      </c>
      <c r="N72">
        <f>IF(AF72&gt;0,IF(P71&lt;=Param_1,N71,N71+(C73*'Input data'!$B$24)),N71)</f>
        <v>0</v>
      </c>
      <c r="O72">
        <f t="shared" si="15"/>
        <v>0</v>
      </c>
      <c r="P72">
        <f>IF(P71&lt;=-100000,0,IF(AF72&gt;0,IF(P71&lt;Param_1,P71,P71+(D73*'Input data'!$B$24)),P71))</f>
        <v>172.94517237745865</v>
      </c>
      <c r="Q72">
        <f t="shared" si="17"/>
        <v>44.694614614310808</v>
      </c>
      <c r="T72">
        <f t="shared" si="18"/>
        <v>44.694614614310808</v>
      </c>
      <c r="U72">
        <f t="shared" si="19"/>
        <v>0</v>
      </c>
      <c r="V72" s="74">
        <f>IF(X72=0,'Input data'!$Q$22,Q72)</f>
        <v>44.694614614310808</v>
      </c>
      <c r="W72" s="74">
        <f>IF(U72=0,'Input data'!$Q$23,U72)</f>
        <v>0</v>
      </c>
      <c r="X72" s="74">
        <f t="shared" si="12"/>
        <v>172.94517237745865</v>
      </c>
      <c r="Y72">
        <f>IF(P71&lt;Param_1,Y71,A73*'Input data'!$B$25*SIN(RADIANS('Input data'!$B$10)))</f>
        <v>0</v>
      </c>
      <c r="Z72">
        <f>IF(P71&lt;Param_1,Z71,A73*'Input data'!$B$25*COS(RADIANS('Input data'!$B$10)))</f>
        <v>27.499999999999972</v>
      </c>
      <c r="AA72">
        <f t="shared" ref="AA72:AA135" si="23">IF(P71&lt;Param_1,AA71,A73)</f>
        <v>6.5999999999999925</v>
      </c>
      <c r="AB72">
        <f t="shared" ref="AB72:AB135" si="24">IF(D72&lt;0,AB71,A73)</f>
        <v>5.1999999999999975</v>
      </c>
      <c r="AC72">
        <f>IF(ROUND(A72*10,3)='Input data'!$B$14*10,M72,0)</f>
        <v>0</v>
      </c>
      <c r="AD72">
        <f>IF(ROUND(A72*10,3)='Input data'!$B$14*10,N72,0)</f>
        <v>0</v>
      </c>
      <c r="AE72">
        <f>IF(ROUND(A72*10,3)='Input data'!$B$14*10,P72,0)</f>
        <v>0</v>
      </c>
      <c r="AF72">
        <f>IF('Input data'!$B$26="C",IF((3.14159265*1860/4)*((0.001*'Input data'!$B$20)-(2*'Input data'!$B$28*A72))^2*((0.33333*0.001*'Input data'!$B$20)-(2*'Input data'!$B$28*A72))&lt;0,(3.14159265*1860/4)*((0.001*'Input data'!$B$20)-(2*'Input data'!$B$28*A72))^2*((0.33333*0.001*'Input data'!$B$20)-(2*'Input data'!$B$28*A72)),(3.14159265*1860/4)*((0.001*'Input data'!$B$20)-(2*'Input data'!$B$28*A72))^2*((0.33333*0.001*'Input data'!$B$20)-(2*'Input data'!$B$28*A72))),'Input data'!$B$21)</f>
        <v>0.40680208090393727</v>
      </c>
      <c r="AG72">
        <f t="shared" si="20"/>
        <v>0</v>
      </c>
      <c r="AH72">
        <f t="shared" si="21"/>
        <v>0</v>
      </c>
      <c r="AI72">
        <f t="shared" si="14"/>
        <v>0</v>
      </c>
      <c r="AJ72">
        <f t="shared" si="22"/>
        <v>3000</v>
      </c>
      <c r="AK72">
        <f>IF('Input data'!$B$26="S",'Input data'!$B$22,3.1415*(('Input data'!$B$20*0.0005)-('Input data'!$B$28*A72))^2)</f>
        <v>7.8539816250000026E-3</v>
      </c>
    </row>
    <row r="73" spans="1:37" x14ac:dyDescent="0.2">
      <c r="A73" s="9">
        <f>A72+'Input data'!$B$24</f>
        <v>6.5999999999999925</v>
      </c>
      <c r="B73">
        <f>B72+(J72*'Input data'!$B$24)</f>
        <v>6.4744377831051318</v>
      </c>
      <c r="C73">
        <f>C72+(K72*'Input data'!$B$24)</f>
        <v>0</v>
      </c>
      <c r="D73">
        <f>D72+(L72*'Input data'!$B$24)</f>
        <v>-14.130557672201146</v>
      </c>
      <c r="E73">
        <f>IF('Input data'!$B$13=2,'Input data'!$B$25*((0.1036*LN(ABS(P72+1)))+0.8731),IF('Input data'!$B$13=3,'Input data'!$B$25*((0.139*LN(ABS(P72+1)))+0.7503),'Input data'!$B$25))</f>
        <v>5.8647728306745099</v>
      </c>
      <c r="F73">
        <f>E73*COS(RADIANS('Input data'!$B$10))</f>
        <v>5.8647728306745099</v>
      </c>
      <c r="G73">
        <f>E73*SIN(RADIANS('Input data'!$B$10))</f>
        <v>0</v>
      </c>
      <c r="H73">
        <f>1.22*EXP(-0.0001065*(P72+'Input data'!$B$12))</f>
        <v>1.1977349097696177</v>
      </c>
      <c r="I73">
        <f t="shared" si="16"/>
        <v>14.143703598478897</v>
      </c>
      <c r="J73">
        <f>-0.5*H73*I73*AK73*'Input data'!$B$19*(B73-F73)/AF73</f>
        <v>-5.0264745148873205E-2</v>
      </c>
      <c r="K73">
        <f>-0.5*H73*I73*AK73*'Input data'!$B$19*(C73-G73)/AF73</f>
        <v>0</v>
      </c>
      <c r="L73">
        <f>(-0.5*H73*AK73*I73*'Input data'!$B$19*D73/AF73)-'Input data'!$B$23</f>
        <v>-8.6399848923200615</v>
      </c>
      <c r="M73">
        <f>IF(AF73&gt;0,IF(P72&lt;=Param_1,M72,M72+(B74*'Input data'!$B$24)),M72)</f>
        <v>45.341555745169835</v>
      </c>
      <c r="N73">
        <f>IF(AF73&gt;0,IF(P72&lt;=Param_1,N72,N72+(C74*'Input data'!$B$24)),N72)</f>
        <v>0</v>
      </c>
      <c r="O73">
        <f t="shared" si="15"/>
        <v>0</v>
      </c>
      <c r="P73">
        <f>IF(P72&lt;=-100000,0,IF(AF73&gt;0,IF(P72&lt;Param_1,P72,P72+(D74*'Input data'!$B$24)),P72))</f>
        <v>171.44571676131534</v>
      </c>
      <c r="Q73">
        <f t="shared" si="17"/>
        <v>45.341555745169835</v>
      </c>
      <c r="T73">
        <f t="shared" si="18"/>
        <v>45.341555745169835</v>
      </c>
      <c r="U73">
        <f t="shared" si="19"/>
        <v>0</v>
      </c>
      <c r="V73" s="74">
        <f>IF(X73=0,'Input data'!$Q$22,Q73)</f>
        <v>45.341555745169835</v>
      </c>
      <c r="W73" s="74">
        <f>IF(U73=0,'Input data'!$Q$23,U73)</f>
        <v>0</v>
      </c>
      <c r="X73" s="74">
        <f t="shared" si="12"/>
        <v>171.44571676131534</v>
      </c>
      <c r="Y73">
        <f>IF(P72&lt;Param_1,Y72,A74*'Input data'!$B$25*SIN(RADIANS('Input data'!$B$10)))</f>
        <v>0</v>
      </c>
      <c r="Z73">
        <f>IF(P72&lt;Param_1,Z72,A74*'Input data'!$B$25*COS(RADIANS('Input data'!$B$10)))</f>
        <v>27.916666666666636</v>
      </c>
      <c r="AA73">
        <f t="shared" si="23"/>
        <v>6.6999999999999922</v>
      </c>
      <c r="AB73">
        <f t="shared" si="24"/>
        <v>5.1999999999999975</v>
      </c>
      <c r="AC73">
        <f>IF(ROUND(A73*10,3)='Input data'!$B$14*10,M73,0)</f>
        <v>0</v>
      </c>
      <c r="AD73">
        <f>IF(ROUND(A73*10,3)='Input data'!$B$14*10,N73,0)</f>
        <v>0</v>
      </c>
      <c r="AE73">
        <f>IF(ROUND(A73*10,3)='Input data'!$B$14*10,P73,0)</f>
        <v>0</v>
      </c>
      <c r="AF73">
        <f>IF('Input data'!$B$26="C",IF((3.14159265*1860/4)*((0.001*'Input data'!$B$20)-(2*'Input data'!$B$28*A73))^2*((0.33333*0.001*'Input data'!$B$20)-(2*'Input data'!$B$28*A73))&lt;0,(3.14159265*1860/4)*((0.001*'Input data'!$B$20)-(2*'Input data'!$B$28*A73))^2*((0.33333*0.001*'Input data'!$B$20)-(2*'Input data'!$B$28*A73)),(3.14159265*1860/4)*((0.001*'Input data'!$B$20)-(2*'Input data'!$B$28*A73))^2*((0.33333*0.001*'Input data'!$B$20)-(2*'Input data'!$B$28*A73))),'Input data'!$B$21)</f>
        <v>0.40680208090393727</v>
      </c>
      <c r="AG73">
        <f t="shared" si="20"/>
        <v>0</v>
      </c>
      <c r="AH73">
        <f t="shared" si="21"/>
        <v>0</v>
      </c>
      <c r="AI73">
        <f t="shared" si="14"/>
        <v>0</v>
      </c>
      <c r="AJ73">
        <f t="shared" si="22"/>
        <v>3000</v>
      </c>
      <c r="AK73">
        <f>IF('Input data'!$B$26="S",'Input data'!$B$22,3.1415*(('Input data'!$B$20*0.0005)-('Input data'!$B$28*A73))^2)</f>
        <v>7.8539816250000026E-3</v>
      </c>
    </row>
    <row r="74" spans="1:37" x14ac:dyDescent="0.2">
      <c r="A74" s="9">
        <f>A73+'Input data'!$B$24</f>
        <v>6.6999999999999922</v>
      </c>
      <c r="B74">
        <f>B73+(J73*'Input data'!$B$24)</f>
        <v>6.4694113085902449</v>
      </c>
      <c r="C74">
        <f>C73+(K73*'Input data'!$B$24)</f>
        <v>0</v>
      </c>
      <c r="D74">
        <f>D73+(L73*'Input data'!$B$24)</f>
        <v>-14.994556161433152</v>
      </c>
      <c r="E74">
        <f>IF('Input data'!$B$13=2,'Input data'!$B$25*((0.1036*LN(ABS(P73+1)))+0.8731),IF('Input data'!$B$13=3,'Input data'!$B$25*((0.139*LN(ABS(P73+1)))+0.7503),'Input data'!$B$25))</f>
        <v>5.8610356131500509</v>
      </c>
      <c r="F74">
        <f>E74*COS(RADIANS('Input data'!$B$10))</f>
        <v>5.8610356131500509</v>
      </c>
      <c r="G74">
        <f>E74*SIN(RADIANS('Input data'!$B$10))</f>
        <v>0</v>
      </c>
      <c r="H74">
        <f>1.22*EXP(-0.0001065*(P73+'Input data'!$B$12))</f>
        <v>1.1979261937533761</v>
      </c>
      <c r="I74">
        <f t="shared" si="16"/>
        <v>15.006892931755569</v>
      </c>
      <c r="J74">
        <f>-0.5*H74*I74*AK74*'Input data'!$B$19*(B74-F74)/AF74</f>
        <v>-5.3228116888243346E-2</v>
      </c>
      <c r="K74">
        <f>-0.5*H74*I74*AK74*'Input data'!$B$19*(C74-G74)/AF74</f>
        <v>0</v>
      </c>
      <c r="L74">
        <f>(-0.5*H74*AK74*I74*'Input data'!$B$19*D74/AF74)-'Input data'!$B$23</f>
        <v>-8.4930935677902131</v>
      </c>
      <c r="M74">
        <f>IF(AF74&gt;0,IF(P73&lt;=Param_1,M73,M73+(B75*'Input data'!$B$24)),M73)</f>
        <v>45.987964594859974</v>
      </c>
      <c r="N74">
        <f>IF(AF74&gt;0,IF(P73&lt;=Param_1,N73,N73+(C75*'Input data'!$B$24)),N73)</f>
        <v>0</v>
      </c>
      <c r="O74">
        <f t="shared" si="15"/>
        <v>0</v>
      </c>
      <c r="P74">
        <f>IF(P73&lt;=-100000,0,IF(AF74&gt;0,IF(P73&lt;Param_1,P73,P73+(D75*'Input data'!$B$24)),P73))</f>
        <v>169.86133020949413</v>
      </c>
      <c r="Q74">
        <f t="shared" si="17"/>
        <v>45.987964594859974</v>
      </c>
      <c r="T74">
        <f t="shared" si="18"/>
        <v>45.987964594859974</v>
      </c>
      <c r="U74">
        <f t="shared" si="19"/>
        <v>0</v>
      </c>
      <c r="V74" s="74">
        <f>IF(X74=0,'Input data'!$Q$22,Q74)</f>
        <v>45.987964594859974</v>
      </c>
      <c r="W74" s="74">
        <f>IF(U74=0,'Input data'!$Q$23,U74)</f>
        <v>0</v>
      </c>
      <c r="X74" s="74">
        <f t="shared" si="12"/>
        <v>169.86133020949413</v>
      </c>
      <c r="Y74">
        <f>IF(P73&lt;Param_1,Y73,A75*'Input data'!$B$25*SIN(RADIANS('Input data'!$B$10)))</f>
        <v>0</v>
      </c>
      <c r="Z74">
        <f>IF(P73&lt;Param_1,Z73,A75*'Input data'!$B$25*COS(RADIANS('Input data'!$B$10)))</f>
        <v>28.3333333333333</v>
      </c>
      <c r="AA74">
        <f t="shared" si="23"/>
        <v>6.7999999999999918</v>
      </c>
      <c r="AB74">
        <f t="shared" si="24"/>
        <v>5.1999999999999975</v>
      </c>
      <c r="AC74">
        <f>IF(ROUND(A74*10,3)='Input data'!$B$14*10,M74,0)</f>
        <v>0</v>
      </c>
      <c r="AD74">
        <f>IF(ROUND(A74*10,3)='Input data'!$B$14*10,N74,0)</f>
        <v>0</v>
      </c>
      <c r="AE74">
        <f>IF(ROUND(A74*10,3)='Input data'!$B$14*10,P74,0)</f>
        <v>0</v>
      </c>
      <c r="AF74">
        <f>IF('Input data'!$B$26="C",IF((3.14159265*1860/4)*((0.001*'Input data'!$B$20)-(2*'Input data'!$B$28*A74))^2*((0.33333*0.001*'Input data'!$B$20)-(2*'Input data'!$B$28*A74))&lt;0,(3.14159265*1860/4)*((0.001*'Input data'!$B$20)-(2*'Input data'!$B$28*A74))^2*((0.33333*0.001*'Input data'!$B$20)-(2*'Input data'!$B$28*A74)),(3.14159265*1860/4)*((0.001*'Input data'!$B$20)-(2*'Input data'!$B$28*A74))^2*((0.33333*0.001*'Input data'!$B$20)-(2*'Input data'!$B$28*A74))),'Input data'!$B$21)</f>
        <v>0.40680208090393727</v>
      </c>
      <c r="AG74">
        <f t="shared" si="20"/>
        <v>0</v>
      </c>
      <c r="AH74">
        <f t="shared" si="21"/>
        <v>0</v>
      </c>
      <c r="AI74">
        <f t="shared" si="14"/>
        <v>0</v>
      </c>
      <c r="AJ74">
        <f t="shared" si="22"/>
        <v>3000</v>
      </c>
      <c r="AK74">
        <f>IF('Input data'!$B$26="S",'Input data'!$B$22,3.1415*(('Input data'!$B$20*0.0005)-('Input data'!$B$28*A74))^2)</f>
        <v>7.8539816250000026E-3</v>
      </c>
    </row>
    <row r="75" spans="1:37" x14ac:dyDescent="0.2">
      <c r="A75" s="9">
        <f>A74+'Input data'!$B$24</f>
        <v>6.7999999999999918</v>
      </c>
      <c r="B75">
        <f>B74+(J74*'Input data'!$B$24)</f>
        <v>6.4640884969014207</v>
      </c>
      <c r="C75">
        <f>C74+(K74*'Input data'!$B$24)</f>
        <v>0</v>
      </c>
      <c r="D75">
        <f>D74+(L74*'Input data'!$B$24)</f>
        <v>-15.843865518212173</v>
      </c>
      <c r="E75">
        <f>IF('Input data'!$B$13=2,'Input data'!$B$25*((0.1036*LN(ABS(P74+1)))+0.8731),IF('Input data'!$B$13=3,'Input data'!$B$25*((0.139*LN(ABS(P74+1)))+0.7503),'Input data'!$B$25))</f>
        <v>5.8570512398419039</v>
      </c>
      <c r="F75">
        <f>E75*COS(RADIANS('Input data'!$B$10))</f>
        <v>5.8570512398419039</v>
      </c>
      <c r="G75">
        <f>E75*SIN(RADIANS('Input data'!$B$10))</f>
        <v>0</v>
      </c>
      <c r="H75">
        <f>1.22*EXP(-0.0001065*(P74+'Input data'!$B$12))</f>
        <v>1.1981283454812817</v>
      </c>
      <c r="I75">
        <f t="shared" si="16"/>
        <v>15.855490178189099</v>
      </c>
      <c r="J75">
        <f>-0.5*H75*I75*AK75*'Input data'!$B$19*(B75-F75)/AF75</f>
        <v>-5.6123760616092158E-2</v>
      </c>
      <c r="K75">
        <f>-0.5*H75*I75*AK75*'Input data'!$B$19*(C75-G75)/AF75</f>
        <v>0</v>
      </c>
      <c r="L75">
        <f>(-0.5*H75*AK75*I75*'Input data'!$B$19*D75/AF75)-'Input data'!$B$23</f>
        <v>-8.340151993989533</v>
      </c>
      <c r="M75">
        <f>IF(AF75&gt;0,IF(P74&lt;=Param_1,M74,M74+(B76*'Input data'!$B$24)),M74)</f>
        <v>46.633812206943958</v>
      </c>
      <c r="N75">
        <f>IF(AF75&gt;0,IF(P74&lt;=Param_1,N74,N74+(C76*'Input data'!$B$24)),N74)</f>
        <v>0</v>
      </c>
      <c r="O75">
        <f t="shared" si="15"/>
        <v>0</v>
      </c>
      <c r="P75">
        <f>IF(P74&lt;=-100000,0,IF(AF75&gt;0,IF(P74&lt;Param_1,P74,P74+(D76*'Input data'!$B$24)),P74))</f>
        <v>168.193542137733</v>
      </c>
      <c r="Q75">
        <f t="shared" si="17"/>
        <v>46.633812206943958</v>
      </c>
      <c r="T75">
        <f t="shared" si="18"/>
        <v>46.633812206943958</v>
      </c>
      <c r="U75">
        <f t="shared" si="19"/>
        <v>0</v>
      </c>
      <c r="V75" s="74">
        <f>IF(X75=0,'Input data'!$Q$22,Q75)</f>
        <v>46.633812206943958</v>
      </c>
      <c r="W75" s="74">
        <f>IF(U75=0,'Input data'!$Q$23,U75)</f>
        <v>0</v>
      </c>
      <c r="X75" s="74">
        <f t="shared" si="12"/>
        <v>168.193542137733</v>
      </c>
      <c r="Y75">
        <f>IF(P74&lt;Param_1,Y74,A76*'Input data'!$B$25*SIN(RADIANS('Input data'!$B$10)))</f>
        <v>0</v>
      </c>
      <c r="Z75">
        <f>IF(P74&lt;Param_1,Z74,A76*'Input data'!$B$25*COS(RADIANS('Input data'!$B$10)))</f>
        <v>28.749999999999968</v>
      </c>
      <c r="AA75">
        <f t="shared" si="23"/>
        <v>6.8999999999999915</v>
      </c>
      <c r="AB75">
        <f t="shared" si="24"/>
        <v>5.1999999999999975</v>
      </c>
      <c r="AC75">
        <f>IF(ROUND(A75*10,3)='Input data'!$B$14*10,M75,0)</f>
        <v>0</v>
      </c>
      <c r="AD75">
        <f>IF(ROUND(A75*10,3)='Input data'!$B$14*10,N75,0)</f>
        <v>0</v>
      </c>
      <c r="AE75">
        <f>IF(ROUND(A75*10,3)='Input data'!$B$14*10,P75,0)</f>
        <v>0</v>
      </c>
      <c r="AF75">
        <f>IF('Input data'!$B$26="C",IF((3.14159265*1860/4)*((0.001*'Input data'!$B$20)-(2*'Input data'!$B$28*A75))^2*((0.33333*0.001*'Input data'!$B$20)-(2*'Input data'!$B$28*A75))&lt;0,(3.14159265*1860/4)*((0.001*'Input data'!$B$20)-(2*'Input data'!$B$28*A75))^2*((0.33333*0.001*'Input data'!$B$20)-(2*'Input data'!$B$28*A75)),(3.14159265*1860/4)*((0.001*'Input data'!$B$20)-(2*'Input data'!$B$28*A75))^2*((0.33333*0.001*'Input data'!$B$20)-(2*'Input data'!$B$28*A75))),'Input data'!$B$21)</f>
        <v>0.40680208090393727</v>
      </c>
      <c r="AG75">
        <f t="shared" si="20"/>
        <v>0</v>
      </c>
      <c r="AH75">
        <f t="shared" si="21"/>
        <v>0</v>
      </c>
      <c r="AI75">
        <f t="shared" si="14"/>
        <v>0</v>
      </c>
      <c r="AJ75">
        <f t="shared" si="22"/>
        <v>3000</v>
      </c>
      <c r="AK75">
        <f>IF('Input data'!$B$26="S",'Input data'!$B$22,3.1415*(('Input data'!$B$20*0.0005)-('Input data'!$B$28*A75))^2)</f>
        <v>7.8539816250000026E-3</v>
      </c>
    </row>
    <row r="76" spans="1:37" x14ac:dyDescent="0.2">
      <c r="A76" s="9">
        <f>A75+'Input data'!$B$24</f>
        <v>6.8999999999999915</v>
      </c>
      <c r="B76">
        <f>B75+(J75*'Input data'!$B$24)</f>
        <v>6.4584761208398112</v>
      </c>
      <c r="C76">
        <f>C75+(K75*'Input data'!$B$24)</f>
        <v>0</v>
      </c>
      <c r="D76">
        <f>D75+(L75*'Input data'!$B$24)</f>
        <v>-16.677880717611124</v>
      </c>
      <c r="E76">
        <f>IF('Input data'!$B$13=2,'Input data'!$B$25*((0.1036*LN(ABS(P75+1)))+0.8731),IF('Input data'!$B$13=3,'Input data'!$B$25*((0.139*LN(ABS(P75+1)))+0.7503),'Input data'!$B$25))</f>
        <v>5.8528170156115822</v>
      </c>
      <c r="F76">
        <f>E76*COS(RADIANS('Input data'!$B$10))</f>
        <v>5.8528170156115822</v>
      </c>
      <c r="G76">
        <f>E76*SIN(RADIANS('Input data'!$B$10))</f>
        <v>0</v>
      </c>
      <c r="H76">
        <f>1.22*EXP(-0.0001065*(P75+'Input data'!$B$12))</f>
        <v>1.1983411752554367</v>
      </c>
      <c r="I76">
        <f t="shared" si="16"/>
        <v>16.688874383331274</v>
      </c>
      <c r="J76">
        <f>-0.5*H76*I76*AK76*'Input data'!$B$19*(B76-F76)/AF76</f>
        <v>-5.8950050205761835E-2</v>
      </c>
      <c r="K76">
        <f>-0.5*H76*I76*AK76*'Input data'!$B$19*(C76-G76)/AF76</f>
        <v>0</v>
      </c>
      <c r="L76">
        <f>(-0.5*H76*AK76*I76*'Input data'!$B$19*D76/AF76)-'Input data'!$B$23</f>
        <v>-8.1817074627592685</v>
      </c>
      <c r="M76">
        <f>IF(AF76&gt;0,IF(P75&lt;=Param_1,M75,M75+(B77*'Input data'!$B$24)),M75)</f>
        <v>47.279070318525882</v>
      </c>
      <c r="N76">
        <f>IF(AF76&gt;0,IF(P75&lt;=Param_1,N75,N75+(C77*'Input data'!$B$24)),N75)</f>
        <v>0</v>
      </c>
      <c r="O76">
        <f t="shared" si="15"/>
        <v>0</v>
      </c>
      <c r="P76">
        <f>IF(P75&lt;=-100000,0,IF(AF76&gt;0,IF(P75&lt;Param_1,P75,P75+(D77*'Input data'!$B$24)),P75))</f>
        <v>166.44393699134429</v>
      </c>
      <c r="Q76">
        <f t="shared" si="17"/>
        <v>47.279070318525882</v>
      </c>
      <c r="T76">
        <f t="shared" si="18"/>
        <v>47.279070318525882</v>
      </c>
      <c r="U76">
        <f t="shared" si="19"/>
        <v>0</v>
      </c>
      <c r="V76" s="74">
        <f>IF(X76=0,'Input data'!$Q$22,Q76)</f>
        <v>47.279070318525882</v>
      </c>
      <c r="W76" s="74">
        <f>IF(U76=0,'Input data'!$Q$23,U76)</f>
        <v>0</v>
      </c>
      <c r="X76" s="74">
        <f t="shared" si="12"/>
        <v>166.44393699134429</v>
      </c>
      <c r="Y76">
        <f>IF(P75&lt;Param_1,Y75,A77*'Input data'!$B$25*SIN(RADIANS('Input data'!$B$10)))</f>
        <v>0</v>
      </c>
      <c r="Z76">
        <f>IF(P75&lt;Param_1,Z75,A77*'Input data'!$B$25*COS(RADIANS('Input data'!$B$10)))</f>
        <v>29.166666666666632</v>
      </c>
      <c r="AA76">
        <f t="shared" si="23"/>
        <v>6.9999999999999911</v>
      </c>
      <c r="AB76">
        <f t="shared" si="24"/>
        <v>5.1999999999999975</v>
      </c>
      <c r="AC76">
        <f>IF(ROUND(A76*10,3)='Input data'!$B$14*10,M76,0)</f>
        <v>0</v>
      </c>
      <c r="AD76">
        <f>IF(ROUND(A76*10,3)='Input data'!$B$14*10,N76,0)</f>
        <v>0</v>
      </c>
      <c r="AE76">
        <f>IF(ROUND(A76*10,3)='Input data'!$B$14*10,P76,0)</f>
        <v>0</v>
      </c>
      <c r="AF76">
        <f>IF('Input data'!$B$26="C",IF((3.14159265*1860/4)*((0.001*'Input data'!$B$20)-(2*'Input data'!$B$28*A76))^2*((0.33333*0.001*'Input data'!$B$20)-(2*'Input data'!$B$28*A76))&lt;0,(3.14159265*1860/4)*((0.001*'Input data'!$B$20)-(2*'Input data'!$B$28*A76))^2*((0.33333*0.001*'Input data'!$B$20)-(2*'Input data'!$B$28*A76)),(3.14159265*1860/4)*((0.001*'Input data'!$B$20)-(2*'Input data'!$B$28*A76))^2*((0.33333*0.001*'Input data'!$B$20)-(2*'Input data'!$B$28*A76))),'Input data'!$B$21)</f>
        <v>0.40680208090393727</v>
      </c>
      <c r="AG76">
        <f t="shared" si="20"/>
        <v>0</v>
      </c>
      <c r="AH76">
        <f t="shared" si="21"/>
        <v>0</v>
      </c>
      <c r="AI76">
        <f t="shared" si="14"/>
        <v>0</v>
      </c>
      <c r="AJ76">
        <f t="shared" si="22"/>
        <v>3000</v>
      </c>
      <c r="AK76">
        <f>IF('Input data'!$B$26="S",'Input data'!$B$22,3.1415*(('Input data'!$B$20*0.0005)-('Input data'!$B$28*A76))^2)</f>
        <v>7.8539816250000026E-3</v>
      </c>
    </row>
    <row r="77" spans="1:37" x14ac:dyDescent="0.2">
      <c r="A77" s="9">
        <f>A76+'Input data'!$B$24</f>
        <v>6.9999999999999911</v>
      </c>
      <c r="B77">
        <f>B76+(J76*'Input data'!$B$24)</f>
        <v>6.4525811158192345</v>
      </c>
      <c r="C77">
        <f>C76+(K76*'Input data'!$B$24)</f>
        <v>0</v>
      </c>
      <c r="D77">
        <f>D76+(L76*'Input data'!$B$24)</f>
        <v>-17.496051463887053</v>
      </c>
      <c r="E77">
        <f>IF('Input data'!$B$13=2,'Input data'!$B$25*((0.1036*LN(ABS(P76+1)))+0.8731),IF('Input data'!$B$13=3,'Input data'!$B$25*((0.139*LN(ABS(P76+1)))+0.7503),'Input data'!$B$25))</f>
        <v>5.848329974989718</v>
      </c>
      <c r="F77">
        <f>E77*COS(RADIANS('Input data'!$B$10))</f>
        <v>5.848329974989718</v>
      </c>
      <c r="G77">
        <f>E77*SIN(RADIANS('Input data'!$B$10))</f>
        <v>0</v>
      </c>
      <c r="H77">
        <f>1.22*EXP(-0.0001065*(P76+'Input data'!$B$12))</f>
        <v>1.1985644865039156</v>
      </c>
      <c r="I77">
        <f t="shared" si="16"/>
        <v>17.506482692653545</v>
      </c>
      <c r="J77">
        <f>-0.5*H77*I77*AK77*'Input data'!$B$19*(B77-F77)/AF77</f>
        <v>-6.1705827976632967E-2</v>
      </c>
      <c r="K77">
        <f>-0.5*H77*I77*AK77*'Input data'!$B$19*(C77-G77)/AF77</f>
        <v>0</v>
      </c>
      <c r="L77">
        <f>(-0.5*H77*AK77*I77*'Input data'!$B$19*D77/AF77)-'Input data'!$B$23</f>
        <v>-8.0183118682757559</v>
      </c>
      <c r="M77">
        <f>IF(AF77&gt;0,IF(P76&lt;=Param_1,M76,M76+(B78*'Input data'!$B$24)),M76)</f>
        <v>47.923711371828041</v>
      </c>
      <c r="N77">
        <f>IF(AF77&gt;0,IF(P76&lt;=Param_1,N76,N76+(C78*'Input data'!$B$24)),N76)</f>
        <v>0</v>
      </c>
      <c r="O77">
        <f t="shared" si="15"/>
        <v>0</v>
      </c>
      <c r="P77">
        <f>IF(P76&lt;=-100000,0,IF(AF77&gt;0,IF(P76&lt;Param_1,P76,P76+(D78*'Input data'!$B$24)),P76))</f>
        <v>164.61414872627282</v>
      </c>
      <c r="Q77">
        <f t="shared" si="17"/>
        <v>47.923711371828041</v>
      </c>
      <c r="T77">
        <f t="shared" si="18"/>
        <v>47.923711371828041</v>
      </c>
      <c r="U77">
        <f t="shared" si="19"/>
        <v>0</v>
      </c>
      <c r="V77" s="74">
        <f>IF(X77=0,'Input data'!$Q$22,Q77)</f>
        <v>47.923711371828041</v>
      </c>
      <c r="W77" s="74">
        <f>IF(U77=0,'Input data'!$Q$23,U77)</f>
        <v>0</v>
      </c>
      <c r="X77" s="74">
        <f t="shared" si="12"/>
        <v>164.61414872627282</v>
      </c>
      <c r="Y77">
        <f>IF(P76&lt;Param_1,Y76,A78*'Input data'!$B$25*SIN(RADIANS('Input data'!$B$10)))</f>
        <v>0</v>
      </c>
      <c r="Z77">
        <f>IF(P76&lt;Param_1,Z76,A78*'Input data'!$B$25*COS(RADIANS('Input data'!$B$10)))</f>
        <v>29.583333333333297</v>
      </c>
      <c r="AA77">
        <f t="shared" si="23"/>
        <v>7.0999999999999908</v>
      </c>
      <c r="AB77">
        <f t="shared" si="24"/>
        <v>5.1999999999999975</v>
      </c>
      <c r="AC77">
        <f>IF(ROUND(A77*10,3)='Input data'!$B$14*10,M77,0)</f>
        <v>0</v>
      </c>
      <c r="AD77">
        <f>IF(ROUND(A77*10,3)='Input data'!$B$14*10,N77,0)</f>
        <v>0</v>
      </c>
      <c r="AE77">
        <f>IF(ROUND(A77*10,3)='Input data'!$B$14*10,P77,0)</f>
        <v>0</v>
      </c>
      <c r="AF77">
        <f>IF('Input data'!$B$26="C",IF((3.14159265*1860/4)*((0.001*'Input data'!$B$20)-(2*'Input data'!$B$28*A77))^2*((0.33333*0.001*'Input data'!$B$20)-(2*'Input data'!$B$28*A77))&lt;0,(3.14159265*1860/4)*((0.001*'Input data'!$B$20)-(2*'Input data'!$B$28*A77))^2*((0.33333*0.001*'Input data'!$B$20)-(2*'Input data'!$B$28*A77)),(3.14159265*1860/4)*((0.001*'Input data'!$B$20)-(2*'Input data'!$B$28*A77))^2*((0.33333*0.001*'Input data'!$B$20)-(2*'Input data'!$B$28*A77))),'Input data'!$B$21)</f>
        <v>0.40680208090393727</v>
      </c>
      <c r="AG77">
        <f t="shared" si="20"/>
        <v>0</v>
      </c>
      <c r="AH77">
        <f t="shared" si="21"/>
        <v>0</v>
      </c>
      <c r="AI77">
        <f t="shared" si="14"/>
        <v>0</v>
      </c>
      <c r="AJ77">
        <f t="shared" si="22"/>
        <v>3000</v>
      </c>
      <c r="AK77">
        <f>IF('Input data'!$B$26="S",'Input data'!$B$22,3.1415*(('Input data'!$B$20*0.0005)-('Input data'!$B$28*A77))^2)</f>
        <v>7.8539816250000026E-3</v>
      </c>
    </row>
    <row r="78" spans="1:37" x14ac:dyDescent="0.2">
      <c r="A78" s="9">
        <f>A77+'Input data'!$B$24</f>
        <v>7.0999999999999908</v>
      </c>
      <c r="B78">
        <f>B77+(J77*'Input data'!$B$24)</f>
        <v>6.4464105330215711</v>
      </c>
      <c r="C78">
        <f>C77+(K77*'Input data'!$B$24)</f>
        <v>0</v>
      </c>
      <c r="D78">
        <f>D77+(L77*'Input data'!$B$24)</f>
        <v>-18.297882650714627</v>
      </c>
      <c r="E78">
        <f>IF('Input data'!$B$13=2,'Input data'!$B$25*((0.1036*LN(ABS(P77+1)))+0.8731),IF('Input data'!$B$13=3,'Input data'!$B$25*((0.139*LN(ABS(P77+1)))+0.7503),'Input data'!$B$25))</f>
        <v>5.8435868591077789</v>
      </c>
      <c r="F78">
        <f>E78*COS(RADIANS('Input data'!$B$10))</f>
        <v>5.8435868591077789</v>
      </c>
      <c r="G78">
        <f>E78*SIN(RADIANS('Input data'!$B$10))</f>
        <v>0</v>
      </c>
      <c r="H78">
        <f>1.22*EXP(-0.0001065*(P77+'Input data'!$B$12))</f>
        <v>1.1987980764615438</v>
      </c>
      <c r="I78">
        <f t="shared" si="16"/>
        <v>18.307809969549997</v>
      </c>
      <c r="J78">
        <f>-0.5*H78*I78*AK78*'Input data'!$B$19*(B78-F78)/AF78</f>
        <v>-6.4390401591632257E-2</v>
      </c>
      <c r="K78">
        <f>-0.5*H78*I78*AK78*'Input data'!$B$19*(C78-G78)/AF78</f>
        <v>0</v>
      </c>
      <c r="L78">
        <f>(-0.5*H78*AK78*I78*'Input data'!$B$19*D78/AF78)-'Input data'!$B$23</f>
        <v>-7.8505180127438603</v>
      </c>
      <c r="M78">
        <f>IF(AF78&gt;0,IF(P77&lt;=Param_1,M77,M77+(B79*'Input data'!$B$24)),M77)</f>
        <v>48.567708521114284</v>
      </c>
      <c r="N78">
        <f>IF(AF78&gt;0,IF(P77&lt;=Param_1,N77,N77+(C79*'Input data'!$B$24)),N77)</f>
        <v>0</v>
      </c>
      <c r="O78">
        <f t="shared" si="15"/>
        <v>0</v>
      </c>
      <c r="P78">
        <f>IF(P77&lt;=-100000,0,IF(AF78&gt;0,IF(P77&lt;Param_1,P77,P77+(D79*'Input data'!$B$24)),P77))</f>
        <v>162.70585528107392</v>
      </c>
      <c r="Q78">
        <f t="shared" si="17"/>
        <v>48.567708521114284</v>
      </c>
      <c r="T78">
        <f t="shared" si="18"/>
        <v>48.567708521114284</v>
      </c>
      <c r="U78">
        <f t="shared" si="19"/>
        <v>0</v>
      </c>
      <c r="V78" s="74">
        <f>IF(X78=0,'Input data'!$Q$22,Q78)</f>
        <v>48.567708521114284</v>
      </c>
      <c r="W78" s="74">
        <f>IF(U78=0,'Input data'!$Q$23,U78)</f>
        <v>0</v>
      </c>
      <c r="X78" s="74">
        <f t="shared" si="12"/>
        <v>162.70585528107392</v>
      </c>
      <c r="Y78">
        <f>IF(P77&lt;Param_1,Y77,A79*'Input data'!$B$25*SIN(RADIANS('Input data'!$B$10)))</f>
        <v>0</v>
      </c>
      <c r="Z78">
        <f>IF(P77&lt;Param_1,Z77,A79*'Input data'!$B$25*COS(RADIANS('Input data'!$B$10)))</f>
        <v>29.999999999999961</v>
      </c>
      <c r="AA78">
        <f t="shared" si="23"/>
        <v>7.1999999999999904</v>
      </c>
      <c r="AB78">
        <f t="shared" si="24"/>
        <v>5.1999999999999975</v>
      </c>
      <c r="AC78">
        <f>IF(ROUND(A78*10,3)='Input data'!$B$14*10,M78,0)</f>
        <v>0</v>
      </c>
      <c r="AD78">
        <f>IF(ROUND(A78*10,3)='Input data'!$B$14*10,N78,0)</f>
        <v>0</v>
      </c>
      <c r="AE78">
        <f>IF(ROUND(A78*10,3)='Input data'!$B$14*10,P78,0)</f>
        <v>0</v>
      </c>
      <c r="AF78">
        <f>IF('Input data'!$B$26="C",IF((3.14159265*1860/4)*((0.001*'Input data'!$B$20)-(2*'Input data'!$B$28*A78))^2*((0.33333*0.001*'Input data'!$B$20)-(2*'Input data'!$B$28*A78))&lt;0,(3.14159265*1860/4)*((0.001*'Input data'!$B$20)-(2*'Input data'!$B$28*A78))^2*((0.33333*0.001*'Input data'!$B$20)-(2*'Input data'!$B$28*A78)),(3.14159265*1860/4)*((0.001*'Input data'!$B$20)-(2*'Input data'!$B$28*A78))^2*((0.33333*0.001*'Input data'!$B$20)-(2*'Input data'!$B$28*A78))),'Input data'!$B$21)</f>
        <v>0.40680208090393727</v>
      </c>
      <c r="AG78">
        <f t="shared" si="20"/>
        <v>0</v>
      </c>
      <c r="AH78">
        <f t="shared" si="21"/>
        <v>0</v>
      </c>
      <c r="AI78">
        <f t="shared" si="14"/>
        <v>0</v>
      </c>
      <c r="AJ78">
        <f t="shared" si="22"/>
        <v>3000</v>
      </c>
      <c r="AK78">
        <f>IF('Input data'!$B$26="S",'Input data'!$B$22,3.1415*(('Input data'!$B$20*0.0005)-('Input data'!$B$28*A78))^2)</f>
        <v>7.8539816250000026E-3</v>
      </c>
    </row>
    <row r="79" spans="1:37" x14ac:dyDescent="0.2">
      <c r="A79" s="9">
        <f>A78+'Input data'!$B$24</f>
        <v>7.1999999999999904</v>
      </c>
      <c r="B79">
        <f>B78+(J78*'Input data'!$B$24)</f>
        <v>6.4399714928624077</v>
      </c>
      <c r="C79">
        <f>C78+(K78*'Input data'!$B$24)</f>
        <v>0</v>
      </c>
      <c r="D79">
        <f>D78+(L78*'Input data'!$B$24)</f>
        <v>-19.082934451989011</v>
      </c>
      <c r="E79">
        <f>IF('Input data'!$B$13=2,'Input data'!$B$25*((0.1036*LN(ABS(P78+1)))+0.8731),IF('Input data'!$B$13=3,'Input data'!$B$25*((0.139*LN(ABS(P78+1)))+0.7503),'Input data'!$B$25))</f>
        <v>5.8385840904901478</v>
      </c>
      <c r="F79">
        <f>E79*COS(RADIANS('Input data'!$B$10))</f>
        <v>5.8385840904901478</v>
      </c>
      <c r="G79">
        <f>E79*SIN(RADIANS('Input data'!$B$10))</f>
        <v>0</v>
      </c>
      <c r="H79">
        <f>1.22*EXP(-0.0001065*(P78+'Input data'!$B$12))</f>
        <v>1.1990417368521191</v>
      </c>
      <c r="I79">
        <f t="shared" si="16"/>
        <v>19.092408284620387</v>
      </c>
      <c r="J79">
        <f>-0.5*H79*I79*AK79*'Input data'!$B$19*(B79-F79)/AF79</f>
        <v>-6.7003538840780003E-2</v>
      </c>
      <c r="K79">
        <f>-0.5*H79*I79*AK79*'Input data'!$B$19*(C79-G79)/AF79</f>
        <v>0</v>
      </c>
      <c r="L79">
        <f>(-0.5*H79*AK79*I79*'Input data'!$B$19*D79/AF79)-'Input data'!$B$23</f>
        <v>-7.6788760826944724</v>
      </c>
      <c r="M79">
        <f>IF(AF79&gt;0,IF(P78&lt;=Param_1,M78,M78+(B80*'Input data'!$B$24)),M78)</f>
        <v>49.211035635012117</v>
      </c>
      <c r="N79">
        <f>IF(AF79&gt;0,IF(P78&lt;=Param_1,N78,N78+(C80*'Input data'!$B$24)),N78)</f>
        <v>0</v>
      </c>
      <c r="O79">
        <f t="shared" si="15"/>
        <v>0</v>
      </c>
      <c r="P79">
        <f>IF(P78&lt;=-100000,0,IF(AF79&gt;0,IF(P78&lt;Param_1,P78,P78+(D80*'Input data'!$B$24)),P78))</f>
        <v>160.72077307504807</v>
      </c>
      <c r="Q79">
        <f t="shared" si="17"/>
        <v>49.211035635012117</v>
      </c>
      <c r="T79">
        <f t="shared" si="18"/>
        <v>49.211035635012117</v>
      </c>
      <c r="U79">
        <f t="shared" si="19"/>
        <v>0</v>
      </c>
      <c r="V79" s="74">
        <f>IF(X79=0,'Input data'!$Q$22,Q79)</f>
        <v>49.211035635012117</v>
      </c>
      <c r="W79" s="74">
        <f>IF(U79=0,'Input data'!$Q$23,U79)</f>
        <v>0</v>
      </c>
      <c r="X79" s="74">
        <f t="shared" si="12"/>
        <v>160.72077307504807</v>
      </c>
      <c r="Y79">
        <f>IF(P78&lt;Param_1,Y78,A80*'Input data'!$B$25*SIN(RADIANS('Input data'!$B$10)))</f>
        <v>0</v>
      </c>
      <c r="Z79">
        <f>IF(P78&lt;Param_1,Z78,A80*'Input data'!$B$25*COS(RADIANS('Input data'!$B$10)))</f>
        <v>30.416666666666629</v>
      </c>
      <c r="AA79">
        <f t="shared" si="23"/>
        <v>7.2999999999999901</v>
      </c>
      <c r="AB79">
        <f t="shared" si="24"/>
        <v>5.1999999999999975</v>
      </c>
      <c r="AC79">
        <f>IF(ROUND(A79*10,3)='Input data'!$B$14*10,M79,0)</f>
        <v>0</v>
      </c>
      <c r="AD79">
        <f>IF(ROUND(A79*10,3)='Input data'!$B$14*10,N79,0)</f>
        <v>0</v>
      </c>
      <c r="AE79">
        <f>IF(ROUND(A79*10,3)='Input data'!$B$14*10,P79,0)</f>
        <v>0</v>
      </c>
      <c r="AF79">
        <f>IF('Input data'!$B$26="C",IF((3.14159265*1860/4)*((0.001*'Input data'!$B$20)-(2*'Input data'!$B$28*A79))^2*((0.33333*0.001*'Input data'!$B$20)-(2*'Input data'!$B$28*A79))&lt;0,(3.14159265*1860/4)*((0.001*'Input data'!$B$20)-(2*'Input data'!$B$28*A79))^2*((0.33333*0.001*'Input data'!$B$20)-(2*'Input data'!$B$28*A79)),(3.14159265*1860/4)*((0.001*'Input data'!$B$20)-(2*'Input data'!$B$28*A79))^2*((0.33333*0.001*'Input data'!$B$20)-(2*'Input data'!$B$28*A79))),'Input data'!$B$21)</f>
        <v>0.40680208090393727</v>
      </c>
      <c r="AG79">
        <f t="shared" si="20"/>
        <v>0</v>
      </c>
      <c r="AH79">
        <f t="shared" si="21"/>
        <v>0</v>
      </c>
      <c r="AI79">
        <f t="shared" si="14"/>
        <v>0</v>
      </c>
      <c r="AJ79">
        <f t="shared" si="22"/>
        <v>3000</v>
      </c>
      <c r="AK79">
        <f>IF('Input data'!$B$26="S",'Input data'!$B$22,3.1415*(('Input data'!$B$20*0.0005)-('Input data'!$B$28*A79))^2)</f>
        <v>7.8539816250000026E-3</v>
      </c>
    </row>
    <row r="80" spans="1:37" x14ac:dyDescent="0.2">
      <c r="A80" s="9">
        <f>A79+'Input data'!$B$24</f>
        <v>7.2999999999999901</v>
      </c>
      <c r="B80">
        <f>B79+(J79*'Input data'!$B$24)</f>
        <v>6.4332711389783297</v>
      </c>
      <c r="C80">
        <f>C79+(K79*'Input data'!$B$24)</f>
        <v>0</v>
      </c>
      <c r="D80">
        <f>D79+(L79*'Input data'!$B$24)</f>
        <v>-19.850822060258459</v>
      </c>
      <c r="E80">
        <f>IF('Input data'!$B$13=2,'Input data'!$B$25*((0.1036*LN(ABS(P79+1)))+0.8731),IF('Input data'!$B$13=3,'Input data'!$B$25*((0.139*LN(ABS(P79+1)))+0.7503),'Input data'!$B$25))</f>
        <v>5.8333177454978928</v>
      </c>
      <c r="F80">
        <f>E80*COS(RADIANS('Input data'!$B$10))</f>
        <v>5.8333177454978928</v>
      </c>
      <c r="G80">
        <f>E80*SIN(RADIANS('Input data'!$B$10))</f>
        <v>0</v>
      </c>
      <c r="H80">
        <f>1.22*EXP(-0.0001065*(P79+'Input data'!$B$12))</f>
        <v>1.1992952545677396</v>
      </c>
      <c r="I80">
        <f t="shared" si="16"/>
        <v>19.859886216753424</v>
      </c>
      <c r="J80">
        <f>-0.5*H80*I80*AK80*'Input data'!$B$19*(B80-F80)/AF80</f>
        <v>-6.9545460355708091E-2</v>
      </c>
      <c r="K80">
        <f>-0.5*H80*I80*AK80*'Input data'!$B$19*(C80-G80)/AF80</f>
        <v>0</v>
      </c>
      <c r="L80">
        <f>(-0.5*H80*AK80*I80*'Input data'!$B$19*D80/AF80)-'Input data'!$B$23</f>
        <v>-7.5039303275522906</v>
      </c>
      <c r="M80">
        <f>IF(AF80&gt;0,IF(P79&lt;=Param_1,M79,M79+(B81*'Input data'!$B$24)),M79)</f>
        <v>49.853667294306391</v>
      </c>
      <c r="N80">
        <f>IF(AF80&gt;0,IF(P79&lt;=Param_1,N79,N79+(C81*'Input data'!$B$24)),N79)</f>
        <v>0</v>
      </c>
      <c r="O80">
        <f t="shared" si="15"/>
        <v>0</v>
      </c>
      <c r="P80">
        <f>IF(P79&lt;=-100000,0,IF(AF80&gt;0,IF(P79&lt;Param_1,P79,P79+(D81*'Input data'!$B$24)),P79))</f>
        <v>158.66065156574669</v>
      </c>
      <c r="Q80">
        <f t="shared" si="17"/>
        <v>49.853667294306391</v>
      </c>
      <c r="T80">
        <f t="shared" si="18"/>
        <v>49.853667294306391</v>
      </c>
      <c r="U80">
        <f t="shared" si="19"/>
        <v>0</v>
      </c>
      <c r="V80" s="74">
        <f>IF(X80=0,'Input data'!$Q$22,Q80)</f>
        <v>49.853667294306391</v>
      </c>
      <c r="W80" s="74">
        <f>IF(U80=0,'Input data'!$Q$23,U80)</f>
        <v>0</v>
      </c>
      <c r="X80" s="74">
        <f t="shared" si="12"/>
        <v>158.66065156574669</v>
      </c>
      <c r="Y80">
        <f>IF(P79&lt;Param_1,Y79,A81*'Input data'!$B$25*SIN(RADIANS('Input data'!$B$10)))</f>
        <v>0</v>
      </c>
      <c r="Z80">
        <f>IF(P79&lt;Param_1,Z79,A81*'Input data'!$B$25*COS(RADIANS('Input data'!$B$10)))</f>
        <v>30.833333333333293</v>
      </c>
      <c r="AA80">
        <f t="shared" si="23"/>
        <v>7.3999999999999897</v>
      </c>
      <c r="AB80">
        <f t="shared" si="24"/>
        <v>5.1999999999999975</v>
      </c>
      <c r="AC80">
        <f>IF(ROUND(A80*10,3)='Input data'!$B$14*10,M80,0)</f>
        <v>0</v>
      </c>
      <c r="AD80">
        <f>IF(ROUND(A80*10,3)='Input data'!$B$14*10,N80,0)</f>
        <v>0</v>
      </c>
      <c r="AE80">
        <f>IF(ROUND(A80*10,3)='Input data'!$B$14*10,P80,0)</f>
        <v>0</v>
      </c>
      <c r="AF80">
        <f>IF('Input data'!$B$26="C",IF((3.14159265*1860/4)*((0.001*'Input data'!$B$20)-(2*'Input data'!$B$28*A80))^2*((0.33333*0.001*'Input data'!$B$20)-(2*'Input data'!$B$28*A80))&lt;0,(3.14159265*1860/4)*((0.001*'Input data'!$B$20)-(2*'Input data'!$B$28*A80))^2*((0.33333*0.001*'Input data'!$B$20)-(2*'Input data'!$B$28*A80)),(3.14159265*1860/4)*((0.001*'Input data'!$B$20)-(2*'Input data'!$B$28*A80))^2*((0.33333*0.001*'Input data'!$B$20)-(2*'Input data'!$B$28*A80))),'Input data'!$B$21)</f>
        <v>0.40680208090393727</v>
      </c>
      <c r="AG80">
        <f t="shared" si="20"/>
        <v>0</v>
      </c>
      <c r="AH80">
        <f t="shared" si="21"/>
        <v>0</v>
      </c>
      <c r="AI80">
        <f t="shared" si="14"/>
        <v>0</v>
      </c>
      <c r="AJ80">
        <f t="shared" si="22"/>
        <v>3000</v>
      </c>
      <c r="AK80">
        <f>IF('Input data'!$B$26="S",'Input data'!$B$22,3.1415*(('Input data'!$B$20*0.0005)-('Input data'!$B$28*A80))^2)</f>
        <v>7.8539816250000026E-3</v>
      </c>
    </row>
    <row r="81" spans="1:37" x14ac:dyDescent="0.2">
      <c r="A81" s="9">
        <f>A80+'Input data'!$B$24</f>
        <v>7.3999999999999897</v>
      </c>
      <c r="B81">
        <f>B80+(J80*'Input data'!$B$24)</f>
        <v>6.4263165929427588</v>
      </c>
      <c r="C81">
        <f>C80+(K80*'Input data'!$B$24)</f>
        <v>0</v>
      </c>
      <c r="D81">
        <f>D80+(L80*'Input data'!$B$24)</f>
        <v>-20.601215093013689</v>
      </c>
      <c r="E81">
        <f>IF('Input data'!$B$13=2,'Input data'!$B$25*((0.1036*LN(ABS(P80+1)))+0.8731),IF('Input data'!$B$13=3,'Input data'!$B$25*((0.139*LN(ABS(P80+1)))+0.7503),'Input data'!$B$25))</f>
        <v>5.8277835241805427</v>
      </c>
      <c r="F81">
        <f>E81*COS(RADIANS('Input data'!$B$10))</f>
        <v>5.8277835241805427</v>
      </c>
      <c r="G81">
        <f>E81*SIN(RADIANS('Input data'!$B$10))</f>
        <v>0</v>
      </c>
      <c r="H81">
        <f>1.22*EXP(-0.0001065*(P80+'Input data'!$B$12))</f>
        <v>1.1995584123411469</v>
      </c>
      <c r="I81">
        <f t="shared" si="16"/>
        <v>20.60990793630619</v>
      </c>
      <c r="J81">
        <f>-0.5*H81*I81*AK81*'Input data'!$B$19*(B81-F81)/AF81</f>
        <v>-7.2016830430012113E-2</v>
      </c>
      <c r="K81">
        <f>-0.5*H81*I81*AK81*'Input data'!$B$19*(C81-G81)/AF81</f>
        <v>0</v>
      </c>
      <c r="L81">
        <f>(-0.5*H81*AK81*I81*'Input data'!$B$19*D81/AF81)-'Input data'!$B$23</f>
        <v>-7.3262159671077622</v>
      </c>
      <c r="M81">
        <f>IF(AF81&gt;0,IF(P80&lt;=Param_1,M80,M80+(B82*'Input data'!$B$24)),M80)</f>
        <v>50.495578785296367</v>
      </c>
      <c r="N81">
        <f>IF(AF81&gt;0,IF(P80&lt;=Param_1,N80,N80+(C82*'Input data'!$B$24)),N80)</f>
        <v>0</v>
      </c>
      <c r="O81">
        <f t="shared" si="15"/>
        <v>0</v>
      </c>
      <c r="P81">
        <f>IF(P80&lt;=-100000,0,IF(AF81&gt;0,IF(P80&lt;Param_1,P80,P80+(D82*'Input data'!$B$24)),P80))</f>
        <v>156.52726789677425</v>
      </c>
      <c r="Q81">
        <f t="shared" si="17"/>
        <v>50.495578785296367</v>
      </c>
      <c r="T81">
        <f t="shared" si="18"/>
        <v>50.495578785296367</v>
      </c>
      <c r="U81">
        <f t="shared" si="19"/>
        <v>0</v>
      </c>
      <c r="V81" s="74">
        <f>IF(X81=0,'Input data'!$Q$22,Q81)</f>
        <v>50.495578785296367</v>
      </c>
      <c r="W81" s="74">
        <f>IF(U81=0,'Input data'!$Q$23,U81)</f>
        <v>0</v>
      </c>
      <c r="X81" s="74">
        <f t="shared" si="12"/>
        <v>156.52726789677425</v>
      </c>
      <c r="Y81">
        <f>IF(P80&lt;Param_1,Y80,A82*'Input data'!$B$25*SIN(RADIANS('Input data'!$B$10)))</f>
        <v>0</v>
      </c>
      <c r="Z81">
        <f>IF(P80&lt;Param_1,Z80,A82*'Input data'!$B$25*COS(RADIANS('Input data'!$B$10)))</f>
        <v>31.249999999999957</v>
      </c>
      <c r="AA81">
        <f t="shared" si="23"/>
        <v>7.4999999999999893</v>
      </c>
      <c r="AB81">
        <f t="shared" si="24"/>
        <v>5.1999999999999975</v>
      </c>
      <c r="AC81">
        <f>IF(ROUND(A81*10,3)='Input data'!$B$14*10,M81,0)</f>
        <v>0</v>
      </c>
      <c r="AD81">
        <f>IF(ROUND(A81*10,3)='Input data'!$B$14*10,N81,0)</f>
        <v>0</v>
      </c>
      <c r="AE81">
        <f>IF(ROUND(A81*10,3)='Input data'!$B$14*10,P81,0)</f>
        <v>0</v>
      </c>
      <c r="AF81">
        <f>IF('Input data'!$B$26="C",IF((3.14159265*1860/4)*((0.001*'Input data'!$B$20)-(2*'Input data'!$B$28*A81))^2*((0.33333*0.001*'Input data'!$B$20)-(2*'Input data'!$B$28*A81))&lt;0,(3.14159265*1860/4)*((0.001*'Input data'!$B$20)-(2*'Input data'!$B$28*A81))^2*((0.33333*0.001*'Input data'!$B$20)-(2*'Input data'!$B$28*A81)),(3.14159265*1860/4)*((0.001*'Input data'!$B$20)-(2*'Input data'!$B$28*A81))^2*((0.33333*0.001*'Input data'!$B$20)-(2*'Input data'!$B$28*A81))),'Input data'!$B$21)</f>
        <v>0.40680208090393727</v>
      </c>
      <c r="AG81">
        <f t="shared" si="20"/>
        <v>0</v>
      </c>
      <c r="AH81">
        <f t="shared" si="21"/>
        <v>0</v>
      </c>
      <c r="AI81">
        <f t="shared" si="14"/>
        <v>0</v>
      </c>
      <c r="AJ81">
        <f t="shared" si="22"/>
        <v>3000</v>
      </c>
      <c r="AK81">
        <f>IF('Input data'!$B$26="S",'Input data'!$B$22,3.1415*(('Input data'!$B$20*0.0005)-('Input data'!$B$28*A81))^2)</f>
        <v>7.8539816250000026E-3</v>
      </c>
    </row>
    <row r="82" spans="1:37" x14ac:dyDescent="0.2">
      <c r="A82" s="9">
        <f>A81+'Input data'!$B$24</f>
        <v>7.4999999999999893</v>
      </c>
      <c r="B82">
        <f>B81+(J81*'Input data'!$B$24)</f>
        <v>6.4191149098997577</v>
      </c>
      <c r="C82">
        <f>C81+(K81*'Input data'!$B$24)</f>
        <v>0</v>
      </c>
      <c r="D82">
        <f>D81+(L81*'Input data'!$B$24)</f>
        <v>-21.333836689724464</v>
      </c>
      <c r="E82">
        <f>IF('Input data'!$B$13=2,'Input data'!$B$25*((0.1036*LN(ABS(P81+1)))+0.8731),IF('Input data'!$B$13=3,'Input data'!$B$25*((0.139*LN(ABS(P81+1)))+0.7503),'Input data'!$B$25))</f>
        <v>5.8219767172516885</v>
      </c>
      <c r="F82">
        <f>E82*COS(RADIANS('Input data'!$B$10))</f>
        <v>5.8219767172516885</v>
      </c>
      <c r="G82">
        <f>E82*SIN(RADIANS('Input data'!$B$10))</f>
        <v>0</v>
      </c>
      <c r="H82">
        <f>1.22*EXP(-0.0001065*(P81+'Input data'!$B$12))</f>
        <v>1.199830989407271</v>
      </c>
      <c r="I82">
        <f t="shared" si="16"/>
        <v>21.342192059977172</v>
      </c>
      <c r="J82">
        <f>-0.5*H82*I82*AK82*'Input data'!$B$19*(B82-F82)/AF82</f>
        <v>-7.441874620806746E-2</v>
      </c>
      <c r="K82">
        <f>-0.5*H82*I82*AK82*'Input data'!$B$19*(C82-G82)/AF82</f>
        <v>0</v>
      </c>
      <c r="L82">
        <f>(-0.5*H82*AK82*I82*'Input data'!$B$19*D82/AF82)-'Input data'!$B$23</f>
        <v>-7.1462563493612326</v>
      </c>
      <c r="M82">
        <f>IF(AF82&gt;0,IF(P81&lt;=Param_1,M81,M81+(B83*'Input data'!$B$24)),M81)</f>
        <v>51.13674608882426</v>
      </c>
      <c r="N82">
        <f>IF(AF82&gt;0,IF(P81&lt;=Param_1,N81,N81+(C83*'Input data'!$B$24)),N81)</f>
        <v>0</v>
      </c>
      <c r="O82">
        <f t="shared" si="15"/>
        <v>0</v>
      </c>
      <c r="P82">
        <f>IF(P81&lt;=-100000,0,IF(AF82&gt;0,IF(P81&lt;Param_1,P81,P81+(D83*'Input data'!$B$24)),P81))</f>
        <v>154.32242166430819</v>
      </c>
      <c r="Q82">
        <f t="shared" si="17"/>
        <v>51.13674608882426</v>
      </c>
      <c r="T82">
        <f t="shared" si="18"/>
        <v>51.13674608882426</v>
      </c>
      <c r="U82">
        <f t="shared" si="19"/>
        <v>0</v>
      </c>
      <c r="V82" s="74">
        <f>IF(X82=0,'Input data'!$Q$22,Q82)</f>
        <v>51.13674608882426</v>
      </c>
      <c r="W82" s="74">
        <f>IF(U82=0,'Input data'!$Q$23,U82)</f>
        <v>0</v>
      </c>
      <c r="X82" s="74">
        <f t="shared" si="12"/>
        <v>154.32242166430819</v>
      </c>
      <c r="Y82">
        <f>IF(P81&lt;Param_1,Y81,A83*'Input data'!$B$25*SIN(RADIANS('Input data'!$B$10)))</f>
        <v>0</v>
      </c>
      <c r="Z82">
        <f>IF(P81&lt;Param_1,Z81,A83*'Input data'!$B$25*COS(RADIANS('Input data'!$B$10)))</f>
        <v>31.666666666666622</v>
      </c>
      <c r="AA82">
        <f t="shared" si="23"/>
        <v>7.599999999999989</v>
      </c>
      <c r="AB82">
        <f t="shared" si="24"/>
        <v>5.1999999999999975</v>
      </c>
      <c r="AC82">
        <f>IF(ROUND(A82*10,3)='Input data'!$B$14*10,M82,0)</f>
        <v>0</v>
      </c>
      <c r="AD82">
        <f>IF(ROUND(A82*10,3)='Input data'!$B$14*10,N82,0)</f>
        <v>0</v>
      </c>
      <c r="AE82">
        <f>IF(ROUND(A82*10,3)='Input data'!$B$14*10,P82,0)</f>
        <v>0</v>
      </c>
      <c r="AF82">
        <f>IF('Input data'!$B$26="C",IF((3.14159265*1860/4)*((0.001*'Input data'!$B$20)-(2*'Input data'!$B$28*A82))^2*((0.33333*0.001*'Input data'!$B$20)-(2*'Input data'!$B$28*A82))&lt;0,(3.14159265*1860/4)*((0.001*'Input data'!$B$20)-(2*'Input data'!$B$28*A82))^2*((0.33333*0.001*'Input data'!$B$20)-(2*'Input data'!$B$28*A82)),(3.14159265*1860/4)*((0.001*'Input data'!$B$20)-(2*'Input data'!$B$28*A82))^2*((0.33333*0.001*'Input data'!$B$20)-(2*'Input data'!$B$28*A82))),'Input data'!$B$21)</f>
        <v>0.40680208090393727</v>
      </c>
      <c r="AG82">
        <f t="shared" si="20"/>
        <v>0</v>
      </c>
      <c r="AH82">
        <f t="shared" si="21"/>
        <v>0</v>
      </c>
      <c r="AI82">
        <f t="shared" si="14"/>
        <v>0</v>
      </c>
      <c r="AJ82">
        <f t="shared" si="22"/>
        <v>3000</v>
      </c>
      <c r="AK82">
        <f>IF('Input data'!$B$26="S",'Input data'!$B$22,3.1415*(('Input data'!$B$20*0.0005)-('Input data'!$B$28*A82))^2)</f>
        <v>7.8539816250000026E-3</v>
      </c>
    </row>
    <row r="83" spans="1:37" x14ac:dyDescent="0.2">
      <c r="A83" s="9">
        <f>A82+'Input data'!$B$24</f>
        <v>7.599999999999989</v>
      </c>
      <c r="B83">
        <f>B82+(J82*'Input data'!$B$24)</f>
        <v>6.4116730352789508</v>
      </c>
      <c r="C83">
        <f>C82+(K82*'Input data'!$B$24)</f>
        <v>0</v>
      </c>
      <c r="D83">
        <f>D82+(L82*'Input data'!$B$24)</f>
        <v>-22.048462324660587</v>
      </c>
      <c r="E83">
        <f>IF('Input data'!$B$13=2,'Input data'!$B$25*((0.1036*LN(ABS(P82+1)))+0.8731),IF('Input data'!$B$13=3,'Input data'!$B$25*((0.139*LN(ABS(P82+1)))+0.7503),'Input data'!$B$25))</f>
        <v>5.8158921698569976</v>
      </c>
      <c r="F83">
        <f>E83*COS(RADIANS('Input data'!$B$10))</f>
        <v>5.8158921698569976</v>
      </c>
      <c r="G83">
        <f>E83*SIN(RADIANS('Input data'!$B$10))</f>
        <v>0</v>
      </c>
      <c r="H83">
        <f>1.22*EXP(-0.0001065*(P82+'Input data'!$B$12))</f>
        <v>1.200112762150465</v>
      </c>
      <c r="I83">
        <f t="shared" si="16"/>
        <v>22.056510279769562</v>
      </c>
      <c r="J83">
        <f>-0.5*H83*I83*AK83*'Input data'!$B$19*(B83-F83)/AF83</f>
        <v>-7.6752725565235436E-2</v>
      </c>
      <c r="K83">
        <f>-0.5*H83*I83*AK83*'Input data'!$B$19*(C83-G83)/AF83</f>
        <v>0</v>
      </c>
      <c r="L83">
        <f>(-0.5*H83*AK83*I83*'Input data'!$B$19*D83/AF83)-'Input data'!$B$23</f>
        <v>-6.9645603750355853</v>
      </c>
      <c r="M83">
        <f>IF(AF83&gt;0,IF(P82&lt;=Param_1,M82,M82+(B84*'Input data'!$B$24)),M82)</f>
        <v>51.7771458650965</v>
      </c>
      <c r="N83">
        <f>IF(AF83&gt;0,IF(P82&lt;=Param_1,N82,N82+(C84*'Input data'!$B$24)),N82)</f>
        <v>0</v>
      </c>
      <c r="O83">
        <f t="shared" si="15"/>
        <v>0</v>
      </c>
      <c r="P83">
        <f>IF(P82&lt;=-100000,0,IF(AF83&gt;0,IF(P82&lt;Param_1,P82,P82+(D84*'Input data'!$B$24)),P82))</f>
        <v>152.04792982809178</v>
      </c>
      <c r="Q83">
        <f t="shared" si="17"/>
        <v>51.7771458650965</v>
      </c>
      <c r="T83">
        <f t="shared" si="18"/>
        <v>51.7771458650965</v>
      </c>
      <c r="U83">
        <f t="shared" si="19"/>
        <v>0</v>
      </c>
      <c r="V83" s="74">
        <f>IF(X83=0,'Input data'!$Q$22,Q83)</f>
        <v>51.7771458650965</v>
      </c>
      <c r="W83" s="74">
        <f>IF(U83=0,'Input data'!$Q$23,U83)</f>
        <v>0</v>
      </c>
      <c r="X83" s="74">
        <f t="shared" si="12"/>
        <v>152.04792982809178</v>
      </c>
      <c r="Y83">
        <f>IF(P82&lt;Param_1,Y82,A84*'Input data'!$B$25*SIN(RADIANS('Input data'!$B$10)))</f>
        <v>0</v>
      </c>
      <c r="Z83">
        <f>IF(P82&lt;Param_1,Z82,A84*'Input data'!$B$25*COS(RADIANS('Input data'!$B$10)))</f>
        <v>32.083333333333286</v>
      </c>
      <c r="AA83">
        <f t="shared" si="23"/>
        <v>7.6999999999999886</v>
      </c>
      <c r="AB83">
        <f t="shared" si="24"/>
        <v>5.1999999999999975</v>
      </c>
      <c r="AC83">
        <f>IF(ROUND(A83*10,3)='Input data'!$B$14*10,M83,0)</f>
        <v>0</v>
      </c>
      <c r="AD83">
        <f>IF(ROUND(A83*10,3)='Input data'!$B$14*10,N83,0)</f>
        <v>0</v>
      </c>
      <c r="AE83">
        <f>IF(ROUND(A83*10,3)='Input data'!$B$14*10,P83,0)</f>
        <v>0</v>
      </c>
      <c r="AF83">
        <f>IF('Input data'!$B$26="C",IF((3.14159265*1860/4)*((0.001*'Input data'!$B$20)-(2*'Input data'!$B$28*A83))^2*((0.33333*0.001*'Input data'!$B$20)-(2*'Input data'!$B$28*A83))&lt;0,(3.14159265*1860/4)*((0.001*'Input data'!$B$20)-(2*'Input data'!$B$28*A83))^2*((0.33333*0.001*'Input data'!$B$20)-(2*'Input data'!$B$28*A83)),(3.14159265*1860/4)*((0.001*'Input data'!$B$20)-(2*'Input data'!$B$28*A83))^2*((0.33333*0.001*'Input data'!$B$20)-(2*'Input data'!$B$28*A83))),'Input data'!$B$21)</f>
        <v>0.40680208090393727</v>
      </c>
      <c r="AG83">
        <f t="shared" si="20"/>
        <v>0</v>
      </c>
      <c r="AH83">
        <f t="shared" si="21"/>
        <v>0</v>
      </c>
      <c r="AI83">
        <f t="shared" si="14"/>
        <v>0</v>
      </c>
      <c r="AJ83">
        <f t="shared" si="22"/>
        <v>3000</v>
      </c>
      <c r="AK83">
        <f>IF('Input data'!$B$26="S",'Input data'!$B$22,3.1415*(('Input data'!$B$20*0.0005)-('Input data'!$B$28*A83))^2)</f>
        <v>7.8539816250000026E-3</v>
      </c>
    </row>
    <row r="84" spans="1:37" x14ac:dyDescent="0.2">
      <c r="A84" s="9">
        <f>A83+'Input data'!$B$24</f>
        <v>7.6999999999999886</v>
      </c>
      <c r="B84">
        <f>B83+(J83*'Input data'!$B$24)</f>
        <v>6.4039977627224269</v>
      </c>
      <c r="C84">
        <f>C83+(K83*'Input data'!$B$24)</f>
        <v>0</v>
      </c>
      <c r="D84">
        <f>D83+(L83*'Input data'!$B$24)</f>
        <v>-22.744918362164146</v>
      </c>
      <c r="E84">
        <f>IF('Input data'!$B$13=2,'Input data'!$B$25*((0.1036*LN(ABS(P83+1)))+0.8731),IF('Input data'!$B$13=3,'Input data'!$B$25*((0.139*LN(ABS(P83+1)))+0.7503),'Input data'!$B$25))</f>
        <v>5.8095242417481465</v>
      </c>
      <c r="F84">
        <f>E84*COS(RADIANS('Input data'!$B$10))</f>
        <v>5.8095242417481465</v>
      </c>
      <c r="G84">
        <f>E84*SIN(RADIANS('Input data'!$B$10))</f>
        <v>0</v>
      </c>
      <c r="H84">
        <f>1.22*EXP(-0.0001065*(P83+'Input data'!$B$12))</f>
        <v>1.2004035047342481</v>
      </c>
      <c r="I84">
        <f t="shared" si="16"/>
        <v>22.752685777038526</v>
      </c>
      <c r="J84">
        <f>-0.5*H84*I84*AK84*'Input data'!$B$19*(B84-F84)/AF84</f>
        <v>-7.9020694044043951E-2</v>
      </c>
      <c r="K84">
        <f>-0.5*H84*I84*AK84*'Input data'!$B$19*(C84-G84)/AF84</f>
        <v>0</v>
      </c>
      <c r="L84">
        <f>(-0.5*H84*AK84*I84*'Input data'!$B$19*D84/AF84)-'Input data'!$B$23</f>
        <v>-6.7816201999919006</v>
      </c>
      <c r="M84">
        <f>IF(AF84&gt;0,IF(P83&lt;=Param_1,M83,M83+(B85*'Input data'!$B$24)),M83)</f>
        <v>52.416755434428303</v>
      </c>
      <c r="N84">
        <f>IF(AF84&gt;0,IF(P83&lt;=Param_1,N83,N83+(C85*'Input data'!$B$24)),N83)</f>
        <v>0</v>
      </c>
      <c r="O84">
        <f t="shared" si="15"/>
        <v>0</v>
      </c>
      <c r="P84">
        <f>IF(P83&lt;=-100000,0,IF(AF84&gt;0,IF(P83&lt;Param_1,P83,P83+(D85*'Input data'!$B$24)),P83))</f>
        <v>149.70562178987544</v>
      </c>
      <c r="Q84">
        <f t="shared" si="17"/>
        <v>52.416755434428303</v>
      </c>
      <c r="T84">
        <f t="shared" si="18"/>
        <v>52.416755434428303</v>
      </c>
      <c r="U84">
        <f t="shared" si="19"/>
        <v>0</v>
      </c>
      <c r="V84" s="74">
        <f>IF(X84=0,'Input data'!$Q$22,Q84)</f>
        <v>52.416755434428303</v>
      </c>
      <c r="W84" s="74">
        <f>IF(U84=0,'Input data'!$Q$23,U84)</f>
        <v>0</v>
      </c>
      <c r="X84" s="74">
        <f t="shared" si="12"/>
        <v>149.70562178987544</v>
      </c>
      <c r="Y84">
        <f>IF(P83&lt;Param_1,Y83,A85*'Input data'!$B$25*SIN(RADIANS('Input data'!$B$10)))</f>
        <v>0</v>
      </c>
      <c r="Z84">
        <f>IF(P83&lt;Param_1,Z83,A85*'Input data'!$B$25*COS(RADIANS('Input data'!$B$10)))</f>
        <v>32.49999999999995</v>
      </c>
      <c r="AA84">
        <f t="shared" si="23"/>
        <v>7.7999999999999883</v>
      </c>
      <c r="AB84">
        <f t="shared" si="24"/>
        <v>5.1999999999999975</v>
      </c>
      <c r="AC84">
        <f>IF(ROUND(A84*10,3)='Input data'!$B$14*10,M84,0)</f>
        <v>0</v>
      </c>
      <c r="AD84">
        <f>IF(ROUND(A84*10,3)='Input data'!$B$14*10,N84,0)</f>
        <v>0</v>
      </c>
      <c r="AE84">
        <f>IF(ROUND(A84*10,3)='Input data'!$B$14*10,P84,0)</f>
        <v>0</v>
      </c>
      <c r="AF84">
        <f>IF('Input data'!$B$26="C",IF((3.14159265*1860/4)*((0.001*'Input data'!$B$20)-(2*'Input data'!$B$28*A84))^2*((0.33333*0.001*'Input data'!$B$20)-(2*'Input data'!$B$28*A84))&lt;0,(3.14159265*1860/4)*((0.001*'Input data'!$B$20)-(2*'Input data'!$B$28*A84))^2*((0.33333*0.001*'Input data'!$B$20)-(2*'Input data'!$B$28*A84)),(3.14159265*1860/4)*((0.001*'Input data'!$B$20)-(2*'Input data'!$B$28*A84))^2*((0.33333*0.001*'Input data'!$B$20)-(2*'Input data'!$B$28*A84))),'Input data'!$B$21)</f>
        <v>0.40680208090393727</v>
      </c>
      <c r="AG84">
        <f t="shared" si="20"/>
        <v>0</v>
      </c>
      <c r="AH84">
        <f t="shared" si="21"/>
        <v>0</v>
      </c>
      <c r="AI84">
        <f t="shared" si="14"/>
        <v>0</v>
      </c>
      <c r="AJ84">
        <f t="shared" si="22"/>
        <v>3000</v>
      </c>
      <c r="AK84">
        <f>IF('Input data'!$B$26="S",'Input data'!$B$22,3.1415*(('Input data'!$B$20*0.0005)-('Input data'!$B$28*A84))^2)</f>
        <v>7.8539816250000026E-3</v>
      </c>
    </row>
    <row r="85" spans="1:37" x14ac:dyDescent="0.2">
      <c r="A85" s="9">
        <f>A84+'Input data'!$B$24</f>
        <v>7.7999999999999883</v>
      </c>
      <c r="B85">
        <f>B84+(J84*'Input data'!$B$24)</f>
        <v>6.3960956933180224</v>
      </c>
      <c r="C85">
        <f>C84+(K84*'Input data'!$B$24)</f>
        <v>0</v>
      </c>
      <c r="D85">
        <f>D84+(L84*'Input data'!$B$24)</f>
        <v>-23.423080382163334</v>
      </c>
      <c r="E85">
        <f>IF('Input data'!$B$13=2,'Input data'!$B$25*((0.1036*LN(ABS(P84+1)))+0.8731),IF('Input data'!$B$13=3,'Input data'!$B$25*((0.139*LN(ABS(P84+1)))+0.7503),'Input data'!$B$25))</f>
        <v>5.8028667634117648</v>
      </c>
      <c r="F85">
        <f>E85*COS(RADIANS('Input data'!$B$10))</f>
        <v>5.8028667634117648</v>
      </c>
      <c r="G85">
        <f>E85*SIN(RADIANS('Input data'!$B$10))</f>
        <v>0</v>
      </c>
      <c r="H85">
        <f>1.22*EXP(-0.0001065*(P84+'Input data'!$B$12))</f>
        <v>1.2007029897107109</v>
      </c>
      <c r="I85">
        <f t="shared" si="16"/>
        <v>23.4305914383859</v>
      </c>
      <c r="J85">
        <f>-0.5*H85*I85*AK85*'Input data'!$B$19*(B85-F85)/AF85</f>
        <v>-8.1224971239638705E-2</v>
      </c>
      <c r="K85">
        <f>-0.5*H85*I85*AK85*'Input data'!$B$19*(C85-G85)/AF85</f>
        <v>0</v>
      </c>
      <c r="L85">
        <f>(-0.5*H85*AK85*I85*'Input data'!$B$19*D85/AF85)-'Input data'!$B$23</f>
        <v>-6.5979092219329178</v>
      </c>
      <c r="M85">
        <f>IF(AF85&gt;0,IF(P84&lt;=Param_1,M84,M84+(B86*'Input data'!$B$24)),M84)</f>
        <v>53.05555275404771</v>
      </c>
      <c r="N85">
        <f>IF(AF85&gt;0,IF(P84&lt;=Param_1,N84,N84+(C86*'Input data'!$B$24)),N84)</f>
        <v>0</v>
      </c>
      <c r="O85">
        <f t="shared" si="15"/>
        <v>0</v>
      </c>
      <c r="P85">
        <f>IF(P84&lt;=-100000,0,IF(AF85&gt;0,IF(P84&lt;Param_1,P84,P84+(D86*'Input data'!$B$24)),P84))</f>
        <v>147.29733465943977</v>
      </c>
      <c r="Q85">
        <f t="shared" si="17"/>
        <v>53.05555275404771</v>
      </c>
      <c r="T85">
        <f t="shared" si="18"/>
        <v>53.05555275404771</v>
      </c>
      <c r="U85">
        <f t="shared" si="19"/>
        <v>0</v>
      </c>
      <c r="V85" s="74">
        <f>IF(X85=0,'Input data'!$Q$22,Q85)</f>
        <v>53.05555275404771</v>
      </c>
      <c r="W85" s="74">
        <f>IF(U85=0,'Input data'!$Q$23,U85)</f>
        <v>0</v>
      </c>
      <c r="X85" s="74">
        <f t="shared" si="12"/>
        <v>147.29733465943977</v>
      </c>
      <c r="Y85">
        <f>IF(P84&lt;Param_1,Y84,A86*'Input data'!$B$25*SIN(RADIANS('Input data'!$B$10)))</f>
        <v>0</v>
      </c>
      <c r="Z85">
        <f>IF(P84&lt;Param_1,Z84,A86*'Input data'!$B$25*COS(RADIANS('Input data'!$B$10)))</f>
        <v>32.916666666666622</v>
      </c>
      <c r="AA85">
        <f t="shared" si="23"/>
        <v>7.8999999999999879</v>
      </c>
      <c r="AB85">
        <f t="shared" si="24"/>
        <v>5.1999999999999975</v>
      </c>
      <c r="AC85">
        <f>IF(ROUND(A85*10,3)='Input data'!$B$14*10,M85,0)</f>
        <v>0</v>
      </c>
      <c r="AD85">
        <f>IF(ROUND(A85*10,3)='Input data'!$B$14*10,N85,0)</f>
        <v>0</v>
      </c>
      <c r="AE85">
        <f>IF(ROUND(A85*10,3)='Input data'!$B$14*10,P85,0)</f>
        <v>0</v>
      </c>
      <c r="AF85">
        <f>IF('Input data'!$B$26="C",IF((3.14159265*1860/4)*((0.001*'Input data'!$B$20)-(2*'Input data'!$B$28*A85))^2*((0.33333*0.001*'Input data'!$B$20)-(2*'Input data'!$B$28*A85))&lt;0,(3.14159265*1860/4)*((0.001*'Input data'!$B$20)-(2*'Input data'!$B$28*A85))^2*((0.33333*0.001*'Input data'!$B$20)-(2*'Input data'!$B$28*A85)),(3.14159265*1860/4)*((0.001*'Input data'!$B$20)-(2*'Input data'!$B$28*A85))^2*((0.33333*0.001*'Input data'!$B$20)-(2*'Input data'!$B$28*A85))),'Input data'!$B$21)</f>
        <v>0.40680208090393727</v>
      </c>
      <c r="AG85">
        <f t="shared" si="20"/>
        <v>0</v>
      </c>
      <c r="AH85">
        <f t="shared" si="21"/>
        <v>0</v>
      </c>
      <c r="AI85">
        <f t="shared" si="14"/>
        <v>0</v>
      </c>
      <c r="AJ85">
        <f t="shared" si="22"/>
        <v>3000</v>
      </c>
      <c r="AK85">
        <f>IF('Input data'!$B$26="S",'Input data'!$B$22,3.1415*(('Input data'!$B$20*0.0005)-('Input data'!$B$28*A85))^2)</f>
        <v>7.8539816250000026E-3</v>
      </c>
    </row>
    <row r="86" spans="1:37" x14ac:dyDescent="0.2">
      <c r="A86" s="9">
        <f>A85+'Input data'!$B$24</f>
        <v>7.8999999999999879</v>
      </c>
      <c r="B86">
        <f>B85+(J85*'Input data'!$B$24)</f>
        <v>6.3879731961940589</v>
      </c>
      <c r="C86">
        <f>C85+(K85*'Input data'!$B$24)</f>
        <v>0</v>
      </c>
      <c r="D86">
        <f>D85+(L85*'Input data'!$B$24)</f>
        <v>-24.082871304356626</v>
      </c>
      <c r="E86">
        <f>IF('Input data'!$B$13=2,'Input data'!$B$25*((0.1036*LN(ABS(P85+1)))+0.8731),IF('Input data'!$B$13=3,'Input data'!$B$25*((0.139*LN(ABS(P85+1)))+0.7503),'Input data'!$B$25))</f>
        <v>5.7959129876268083</v>
      </c>
      <c r="F86">
        <f>E86*COS(RADIANS('Input data'!$B$10))</f>
        <v>5.7959129876268083</v>
      </c>
      <c r="G86">
        <f>E86*SIN(RADIANS('Input data'!$B$10))</f>
        <v>0</v>
      </c>
      <c r="H86">
        <f>1.22*EXP(-0.0001065*(P85+'Input data'!$B$12))</f>
        <v>1.2010109886070821</v>
      </c>
      <c r="I86">
        <f t="shared" si="16"/>
        <v>24.090147893958072</v>
      </c>
      <c r="J86">
        <f>-0.5*H86*I86*AK86*'Input data'!$B$19*(B86-F86)/AF86</f>
        <v>-8.3368257047537767E-2</v>
      </c>
      <c r="K86">
        <f>-0.5*H86*I86*AK86*'Input data'!$B$19*(C86-G86)/AF86</f>
        <v>0</v>
      </c>
      <c r="L86">
        <f>(-0.5*H86*AK86*I86*'Input data'!$B$19*D86/AF86)-'Input data'!$B$23</f>
        <v>-6.4138803532279276</v>
      </c>
      <c r="M86">
        <f>IF(AF86&gt;0,IF(P85&lt;=Param_1,M85,M85+(B87*'Input data'!$B$24)),M85)</f>
        <v>53.693516391096644</v>
      </c>
      <c r="N86">
        <f>IF(AF86&gt;0,IF(P85&lt;=Param_1,N85,N85+(C87*'Input data'!$B$24)),N85)</f>
        <v>0</v>
      </c>
      <c r="O86">
        <f t="shared" si="15"/>
        <v>0</v>
      </c>
      <c r="P86">
        <f>IF(P85&lt;=-100000,0,IF(AF86&gt;0,IF(P85&lt;Param_1,P85,P85+(D87*'Input data'!$B$24)),P85))</f>
        <v>144.82490872547183</v>
      </c>
      <c r="Q86">
        <f t="shared" si="17"/>
        <v>53.693516391096644</v>
      </c>
      <c r="T86">
        <f t="shared" si="18"/>
        <v>53.693516391096644</v>
      </c>
      <c r="U86">
        <f t="shared" si="19"/>
        <v>0</v>
      </c>
      <c r="V86" s="74">
        <f>IF(X86=0,'Input data'!$Q$22,Q86)</f>
        <v>53.693516391096644</v>
      </c>
      <c r="W86" s="74">
        <f>IF(U86=0,'Input data'!$Q$23,U86)</f>
        <v>0</v>
      </c>
      <c r="X86" s="74">
        <f t="shared" si="12"/>
        <v>144.82490872547183</v>
      </c>
      <c r="Y86">
        <f>IF(P85&lt;Param_1,Y85,A87*'Input data'!$B$25*SIN(RADIANS('Input data'!$B$10)))</f>
        <v>0</v>
      </c>
      <c r="Z86">
        <f>IF(P85&lt;Param_1,Z85,A87*'Input data'!$B$25*COS(RADIANS('Input data'!$B$10)))</f>
        <v>33.333333333333286</v>
      </c>
      <c r="AA86">
        <f t="shared" si="23"/>
        <v>7.9999999999999876</v>
      </c>
      <c r="AB86">
        <f t="shared" si="24"/>
        <v>5.1999999999999975</v>
      </c>
      <c r="AC86">
        <f>IF(ROUND(A86*10,3)='Input data'!$B$14*10,M86,0)</f>
        <v>0</v>
      </c>
      <c r="AD86">
        <f>IF(ROUND(A86*10,3)='Input data'!$B$14*10,N86,0)</f>
        <v>0</v>
      </c>
      <c r="AE86">
        <f>IF(ROUND(A86*10,3)='Input data'!$B$14*10,P86,0)</f>
        <v>0</v>
      </c>
      <c r="AF86">
        <f>IF('Input data'!$B$26="C",IF((3.14159265*1860/4)*((0.001*'Input data'!$B$20)-(2*'Input data'!$B$28*A86))^2*((0.33333*0.001*'Input data'!$B$20)-(2*'Input data'!$B$28*A86))&lt;0,(3.14159265*1860/4)*((0.001*'Input data'!$B$20)-(2*'Input data'!$B$28*A86))^2*((0.33333*0.001*'Input data'!$B$20)-(2*'Input data'!$B$28*A86)),(3.14159265*1860/4)*((0.001*'Input data'!$B$20)-(2*'Input data'!$B$28*A86))^2*((0.33333*0.001*'Input data'!$B$20)-(2*'Input data'!$B$28*A86))),'Input data'!$B$21)</f>
        <v>0.40680208090393727</v>
      </c>
      <c r="AG86">
        <f t="shared" si="20"/>
        <v>0</v>
      </c>
      <c r="AH86">
        <f t="shared" si="21"/>
        <v>0</v>
      </c>
      <c r="AI86">
        <f t="shared" si="14"/>
        <v>0</v>
      </c>
      <c r="AJ86">
        <f t="shared" si="22"/>
        <v>3000</v>
      </c>
      <c r="AK86">
        <f>IF('Input data'!$B$26="S",'Input data'!$B$22,3.1415*(('Input data'!$B$20*0.0005)-('Input data'!$B$28*A86))^2)</f>
        <v>7.8539816250000026E-3</v>
      </c>
    </row>
    <row r="87" spans="1:37" x14ac:dyDescent="0.2">
      <c r="A87" s="9">
        <f>A86+'Input data'!$B$24</f>
        <v>7.9999999999999876</v>
      </c>
      <c r="B87">
        <f>B86+(J86*'Input data'!$B$24)</f>
        <v>6.3796363704893055</v>
      </c>
      <c r="C87">
        <f>C86+(K86*'Input data'!$B$24)</f>
        <v>0</v>
      </c>
      <c r="D87">
        <f>D86+(L86*'Input data'!$B$24)</f>
        <v>-24.724259339679421</v>
      </c>
      <c r="E87">
        <f>IF('Input data'!$B$13=2,'Input data'!$B$25*((0.1036*LN(ABS(P86+1)))+0.8731),IF('Input data'!$B$13=3,'Input data'!$B$25*((0.139*LN(ABS(P86+1)))+0.7503),'Input data'!$B$25))</f>
        <v>5.7886555358346774</v>
      </c>
      <c r="F87">
        <f>E87*COS(RADIANS('Input data'!$B$10))</f>
        <v>5.7886555358346774</v>
      </c>
      <c r="G87">
        <f>E87*SIN(RADIANS('Input data'!$B$10))</f>
        <v>0</v>
      </c>
      <c r="H87">
        <f>1.22*EXP(-0.0001065*(P86+'Input data'!$B$12))</f>
        <v>1.201327272487311</v>
      </c>
      <c r="I87">
        <f t="shared" si="16"/>
        <v>24.731321401062544</v>
      </c>
      <c r="J87">
        <f>-0.5*H87*I87*AK87*'Input data'!$B$19*(B87-F87)/AF87</f>
        <v>-8.5453618200496351E-2</v>
      </c>
      <c r="K87">
        <f>-0.5*H87*I87*AK87*'Input data'!$B$19*(C87-G87)/AF87</f>
        <v>0</v>
      </c>
      <c r="L87">
        <f>(-0.5*H87*AK87*I87*'Input data'!$B$19*D87/AF87)-'Input data'!$B$23</f>
        <v>-6.2299645775099659</v>
      </c>
      <c r="M87">
        <f>IF(AF87&gt;0,IF(P86&lt;=Param_1,M86,M86+(B88*'Input data'!$B$24)),M86)</f>
        <v>54.330625491963566</v>
      </c>
      <c r="N87">
        <f>IF(AF87&gt;0,IF(P86&lt;=Param_1,N86,N86+(C88*'Input data'!$B$24)),N86)</f>
        <v>0</v>
      </c>
      <c r="O87">
        <f t="shared" si="15"/>
        <v>0</v>
      </c>
      <c r="P87">
        <f>IF(P86&lt;=-100000,0,IF(AF87&gt;0,IF(P86&lt;Param_1,P86,P86+(D88*'Input data'!$B$24)),P86))</f>
        <v>142.29018314572878</v>
      </c>
      <c r="Q87">
        <f t="shared" si="17"/>
        <v>54.330625491963566</v>
      </c>
      <c r="T87">
        <f t="shared" si="18"/>
        <v>54.330625491963566</v>
      </c>
      <c r="U87">
        <f t="shared" si="19"/>
        <v>0</v>
      </c>
      <c r="V87" s="74">
        <f>IF(X87=0,'Input data'!$Q$22,Q87)</f>
        <v>54.330625491963566</v>
      </c>
      <c r="W87" s="74">
        <f>IF(U87=0,'Input data'!$Q$23,U87)</f>
        <v>0</v>
      </c>
      <c r="X87" s="74">
        <f t="shared" si="12"/>
        <v>142.29018314572878</v>
      </c>
      <c r="Y87">
        <f>IF(P86&lt;Param_1,Y86,A88*'Input data'!$B$25*SIN(RADIANS('Input data'!$B$10)))</f>
        <v>0</v>
      </c>
      <c r="Z87">
        <f>IF(P86&lt;Param_1,Z86,A88*'Input data'!$B$25*COS(RADIANS('Input data'!$B$10)))</f>
        <v>33.74999999999995</v>
      </c>
      <c r="AA87">
        <f t="shared" si="23"/>
        <v>8.0999999999999872</v>
      </c>
      <c r="AB87">
        <f t="shared" si="24"/>
        <v>5.1999999999999975</v>
      </c>
      <c r="AC87">
        <f>IF(ROUND(A87*10,3)='Input data'!$B$14*10,M87,0)</f>
        <v>0</v>
      </c>
      <c r="AD87">
        <f>IF(ROUND(A87*10,3)='Input data'!$B$14*10,N87,0)</f>
        <v>0</v>
      </c>
      <c r="AE87">
        <f>IF(ROUND(A87*10,3)='Input data'!$B$14*10,P87,0)</f>
        <v>0</v>
      </c>
      <c r="AF87">
        <f>IF('Input data'!$B$26="C",IF((3.14159265*1860/4)*((0.001*'Input data'!$B$20)-(2*'Input data'!$B$28*A87))^2*((0.33333*0.001*'Input data'!$B$20)-(2*'Input data'!$B$28*A87))&lt;0,(3.14159265*1860/4)*((0.001*'Input data'!$B$20)-(2*'Input data'!$B$28*A87))^2*((0.33333*0.001*'Input data'!$B$20)-(2*'Input data'!$B$28*A87)),(3.14159265*1860/4)*((0.001*'Input data'!$B$20)-(2*'Input data'!$B$28*A87))^2*((0.33333*0.001*'Input data'!$B$20)-(2*'Input data'!$B$28*A87))),'Input data'!$B$21)</f>
        <v>0.40680208090393727</v>
      </c>
      <c r="AG87">
        <f t="shared" si="20"/>
        <v>0</v>
      </c>
      <c r="AH87">
        <f t="shared" si="21"/>
        <v>0</v>
      </c>
      <c r="AI87">
        <f t="shared" si="14"/>
        <v>0</v>
      </c>
      <c r="AJ87">
        <f t="shared" si="22"/>
        <v>3000</v>
      </c>
      <c r="AK87">
        <f>IF('Input data'!$B$26="S",'Input data'!$B$22,3.1415*(('Input data'!$B$20*0.0005)-('Input data'!$B$28*A87))^2)</f>
        <v>7.8539816250000026E-3</v>
      </c>
    </row>
    <row r="88" spans="1:37" x14ac:dyDescent="0.2">
      <c r="A88" s="9">
        <f>A87+'Input data'!$B$24</f>
        <v>8.0999999999999872</v>
      </c>
      <c r="B88">
        <f>B87+(J87*'Input data'!$B$24)</f>
        <v>6.3710910086692563</v>
      </c>
      <c r="C88">
        <f>C87+(K87*'Input data'!$B$24)</f>
        <v>0</v>
      </c>
      <c r="D88">
        <f>D87+(L87*'Input data'!$B$24)</f>
        <v>-25.347255797430417</v>
      </c>
      <c r="E88">
        <f>IF('Input data'!$B$13=2,'Input data'!$B$25*((0.1036*LN(ABS(P87+1)))+0.8731),IF('Input data'!$B$13=3,'Input data'!$B$25*((0.139*LN(ABS(P87+1)))+0.7503),'Input data'!$B$25))</f>
        <v>5.781086338601046</v>
      </c>
      <c r="F88">
        <f>E88*COS(RADIANS('Input data'!$B$10))</f>
        <v>5.781086338601046</v>
      </c>
      <c r="G88">
        <f>E88*SIN(RADIANS('Input data'!$B$10))</f>
        <v>0</v>
      </c>
      <c r="H88">
        <f>1.22*EXP(-0.0001065*(P87+'Input data'!$B$12))</f>
        <v>1.2016516124868615</v>
      </c>
      <c r="I88">
        <f t="shared" si="16"/>
        <v>25.354121597307849</v>
      </c>
      <c r="J88">
        <f>-0.5*H88*I88*AK88*'Input data'!$B$19*(B88-F88)/AF88</f>
        <v>-8.7484475531605987E-2</v>
      </c>
      <c r="K88">
        <f>-0.5*H88*I88*AK88*'Input data'!$B$19*(C88-G88)/AF88</f>
        <v>0</v>
      </c>
      <c r="L88">
        <f>(-0.5*H88*AK88*I88*'Input data'!$B$19*D88/AF88)-'Input data'!$B$23</f>
        <v>-6.0465697839352757</v>
      </c>
      <c r="M88">
        <f>IF(AF88&gt;0,IF(P87&lt;=Param_1,M87,M87+(B89*'Input data'!$B$24)),M87)</f>
        <v>54.966859748075173</v>
      </c>
      <c r="N88">
        <f>IF(AF88&gt;0,IF(P87&lt;=Param_1,N87,N87+(C89*'Input data'!$B$24)),N87)</f>
        <v>0</v>
      </c>
      <c r="O88">
        <f t="shared" si="15"/>
        <v>0</v>
      </c>
      <c r="P88">
        <f>IF(P87&lt;=-100000,0,IF(AF88&gt;0,IF(P87&lt;Param_1,P87,P87+(D89*'Input data'!$B$24)),P87))</f>
        <v>139.69499186814639</v>
      </c>
      <c r="Q88">
        <f t="shared" si="17"/>
        <v>54.966859748075173</v>
      </c>
      <c r="T88">
        <f t="shared" si="18"/>
        <v>54.966859748075173</v>
      </c>
      <c r="U88">
        <f t="shared" si="19"/>
        <v>0</v>
      </c>
      <c r="V88" s="74">
        <f>IF(X88=0,'Input data'!$Q$22,Q88)</f>
        <v>54.966859748075173</v>
      </c>
      <c r="W88" s="74">
        <f>IF(U88=0,'Input data'!$Q$23,U88)</f>
        <v>0</v>
      </c>
      <c r="X88" s="74">
        <f t="shared" si="12"/>
        <v>139.69499186814639</v>
      </c>
      <c r="Y88">
        <f>IF(P87&lt;Param_1,Y87,A89*'Input data'!$B$25*SIN(RADIANS('Input data'!$B$10)))</f>
        <v>0</v>
      </c>
      <c r="Z88">
        <f>IF(P87&lt;Param_1,Z87,A89*'Input data'!$B$25*COS(RADIANS('Input data'!$B$10)))</f>
        <v>34.166666666666615</v>
      </c>
      <c r="AA88">
        <f t="shared" si="23"/>
        <v>8.1999999999999869</v>
      </c>
      <c r="AB88">
        <f t="shared" si="24"/>
        <v>5.1999999999999975</v>
      </c>
      <c r="AC88">
        <f>IF(ROUND(A88*10,3)='Input data'!$B$14*10,M88,0)</f>
        <v>0</v>
      </c>
      <c r="AD88">
        <f>IF(ROUND(A88*10,3)='Input data'!$B$14*10,N88,0)</f>
        <v>0</v>
      </c>
      <c r="AE88">
        <f>IF(ROUND(A88*10,3)='Input data'!$B$14*10,P88,0)</f>
        <v>0</v>
      </c>
      <c r="AF88">
        <f>IF('Input data'!$B$26="C",IF((3.14159265*1860/4)*((0.001*'Input data'!$B$20)-(2*'Input data'!$B$28*A88))^2*((0.33333*0.001*'Input data'!$B$20)-(2*'Input data'!$B$28*A88))&lt;0,(3.14159265*1860/4)*((0.001*'Input data'!$B$20)-(2*'Input data'!$B$28*A88))^2*((0.33333*0.001*'Input data'!$B$20)-(2*'Input data'!$B$28*A88)),(3.14159265*1860/4)*((0.001*'Input data'!$B$20)-(2*'Input data'!$B$28*A88))^2*((0.33333*0.001*'Input data'!$B$20)-(2*'Input data'!$B$28*A88))),'Input data'!$B$21)</f>
        <v>0.40680208090393727</v>
      </c>
      <c r="AG88">
        <f t="shared" si="20"/>
        <v>0</v>
      </c>
      <c r="AH88">
        <f t="shared" si="21"/>
        <v>0</v>
      </c>
      <c r="AI88">
        <f t="shared" si="14"/>
        <v>0</v>
      </c>
      <c r="AJ88">
        <f t="shared" si="22"/>
        <v>3000</v>
      </c>
      <c r="AK88">
        <f>IF('Input data'!$B$26="S",'Input data'!$B$22,3.1415*(('Input data'!$B$20*0.0005)-('Input data'!$B$28*A88))^2)</f>
        <v>7.8539816250000026E-3</v>
      </c>
    </row>
    <row r="89" spans="1:37" x14ac:dyDescent="0.2">
      <c r="A89" s="9">
        <f>A88+'Input data'!$B$24</f>
        <v>8.1999999999999869</v>
      </c>
      <c r="B89">
        <f>B88+(J88*'Input data'!$B$24)</f>
        <v>6.3623425611160958</v>
      </c>
      <c r="C89">
        <f>C88+(K88*'Input data'!$B$24)</f>
        <v>0</v>
      </c>
      <c r="D89">
        <f>D88+(L88*'Input data'!$B$24)</f>
        <v>-25.951912775823946</v>
      </c>
      <c r="E89">
        <f>IF('Input data'!$B$13=2,'Input data'!$B$25*((0.1036*LN(ABS(P88+1)))+0.8731),IF('Input data'!$B$13=3,'Input data'!$B$25*((0.139*LN(ABS(P88+1)))+0.7503),'Input data'!$B$25))</f>
        <v>5.7731965693231846</v>
      </c>
      <c r="F89">
        <f>E89*COS(RADIANS('Input data'!$B$10))</f>
        <v>5.7731965693231846</v>
      </c>
      <c r="G89">
        <f>E89*SIN(RADIANS('Input data'!$B$10))</f>
        <v>0</v>
      </c>
      <c r="H89">
        <f>1.22*EXP(-0.0001065*(P88+'Input data'!$B$12))</f>
        <v>1.2019837803192608</v>
      </c>
      <c r="I89">
        <f t="shared" si="16"/>
        <v>25.95859914794363</v>
      </c>
      <c r="J89">
        <f>-0.5*H89*I89*AK89*'Input data'!$B$19*(B89-F89)/AF89</f>
        <v>-8.9464592409909088E-2</v>
      </c>
      <c r="K89">
        <f>-0.5*H89*I89*AK89*'Input data'!$B$19*(C89-G89)/AF89</f>
        <v>0</v>
      </c>
      <c r="L89">
        <f>(-0.5*H89*AK89*I89*'Input data'!$B$19*D89/AF89)-'Input data'!$B$23</f>
        <v>-5.8640798696926009</v>
      </c>
      <c r="M89">
        <f>IF(AF89&gt;0,IF(P88&lt;=Param_1,M88,M88+(B90*'Input data'!$B$24)),M88)</f>
        <v>55.602199358262681</v>
      </c>
      <c r="N89">
        <f>IF(AF89&gt;0,IF(P88&lt;=Param_1,N88,N88+(C90*'Input data'!$B$24)),N88)</f>
        <v>0</v>
      </c>
      <c r="O89">
        <f t="shared" si="15"/>
        <v>0</v>
      </c>
      <c r="P89">
        <f>IF(P88&lt;=-100000,0,IF(AF89&gt;0,IF(P88&lt;Param_1,P88,P88+(D90*'Input data'!$B$24)),P88))</f>
        <v>137.04115979186707</v>
      </c>
      <c r="Q89">
        <f t="shared" si="17"/>
        <v>55.602199358262681</v>
      </c>
      <c r="T89">
        <f t="shared" si="18"/>
        <v>55.602199358262681</v>
      </c>
      <c r="U89">
        <f t="shared" si="19"/>
        <v>0</v>
      </c>
      <c r="V89" s="74">
        <f>IF(X89=0,'Input data'!$Q$22,Q89)</f>
        <v>55.602199358262681</v>
      </c>
      <c r="W89" s="74">
        <f>IF(U89=0,'Input data'!$Q$23,U89)</f>
        <v>0</v>
      </c>
      <c r="X89" s="74">
        <f t="shared" si="12"/>
        <v>137.04115979186707</v>
      </c>
      <c r="Y89">
        <f>IF(P88&lt;Param_1,Y88,A90*'Input data'!$B$25*SIN(RADIANS('Input data'!$B$10)))</f>
        <v>0</v>
      </c>
      <c r="Z89">
        <f>IF(P88&lt;Param_1,Z88,A90*'Input data'!$B$25*COS(RADIANS('Input data'!$B$10)))</f>
        <v>34.583333333333279</v>
      </c>
      <c r="AA89">
        <f t="shared" si="23"/>
        <v>8.2999999999999865</v>
      </c>
      <c r="AB89">
        <f t="shared" si="24"/>
        <v>5.1999999999999975</v>
      </c>
      <c r="AC89">
        <f>IF(ROUND(A89*10,3)='Input data'!$B$14*10,M89,0)</f>
        <v>0</v>
      </c>
      <c r="AD89">
        <f>IF(ROUND(A89*10,3)='Input data'!$B$14*10,N89,0)</f>
        <v>0</v>
      </c>
      <c r="AE89">
        <f>IF(ROUND(A89*10,3)='Input data'!$B$14*10,P89,0)</f>
        <v>0</v>
      </c>
      <c r="AF89">
        <f>IF('Input data'!$B$26="C",IF((3.14159265*1860/4)*((0.001*'Input data'!$B$20)-(2*'Input data'!$B$28*A89))^2*((0.33333*0.001*'Input data'!$B$20)-(2*'Input data'!$B$28*A89))&lt;0,(3.14159265*1860/4)*((0.001*'Input data'!$B$20)-(2*'Input data'!$B$28*A89))^2*((0.33333*0.001*'Input data'!$B$20)-(2*'Input data'!$B$28*A89)),(3.14159265*1860/4)*((0.001*'Input data'!$B$20)-(2*'Input data'!$B$28*A89))^2*((0.33333*0.001*'Input data'!$B$20)-(2*'Input data'!$B$28*A89))),'Input data'!$B$21)</f>
        <v>0.40680208090393727</v>
      </c>
      <c r="AG89">
        <f t="shared" si="20"/>
        <v>0</v>
      </c>
      <c r="AH89">
        <f t="shared" si="21"/>
        <v>0</v>
      </c>
      <c r="AI89">
        <f t="shared" si="14"/>
        <v>0</v>
      </c>
      <c r="AJ89">
        <f t="shared" si="22"/>
        <v>3000</v>
      </c>
      <c r="AK89">
        <f>IF('Input data'!$B$26="S",'Input data'!$B$22,3.1415*(('Input data'!$B$20*0.0005)-('Input data'!$B$28*A89))^2)</f>
        <v>7.8539816250000026E-3</v>
      </c>
    </row>
    <row r="90" spans="1:37" x14ac:dyDescent="0.2">
      <c r="A90" s="9">
        <f>A89+'Input data'!$B$24</f>
        <v>8.2999999999999865</v>
      </c>
      <c r="B90">
        <f>B89+(J89*'Input data'!$B$24)</f>
        <v>6.3533961018751048</v>
      </c>
      <c r="C90">
        <f>C89+(K89*'Input data'!$B$24)</f>
        <v>0</v>
      </c>
      <c r="D90">
        <f>D89+(L89*'Input data'!$B$24)</f>
        <v>-26.538320762793205</v>
      </c>
      <c r="E90">
        <f>IF('Input data'!$B$13=2,'Input data'!$B$25*((0.1036*LN(ABS(P89+1)))+0.8731),IF('Input data'!$B$13=3,'Input data'!$B$25*((0.139*LN(ABS(P89+1)))+0.7503),'Input data'!$B$25))</f>
        <v>5.7649765701874216</v>
      </c>
      <c r="F90">
        <f>E90*COS(RADIANS('Input data'!$B$10))</f>
        <v>5.7649765701874216</v>
      </c>
      <c r="G90">
        <f>E90*SIN(RADIANS('Input data'!$B$10))</f>
        <v>0</v>
      </c>
      <c r="H90">
        <f>1.22*EXP(-0.0001065*(P89+'Input data'!$B$12))</f>
        <v>1.2023235487532666</v>
      </c>
      <c r="I90">
        <f t="shared" si="16"/>
        <v>26.544843311916019</v>
      </c>
      <c r="J90">
        <f>-0.5*H90*I90*AK90*'Input data'!$B$19*(B90-F90)/AF90</f>
        <v>-9.1398064804971008E-2</v>
      </c>
      <c r="K90">
        <f>-0.5*H90*I90*AK90*'Input data'!$B$19*(C90-G90)/AF90</f>
        <v>0</v>
      </c>
      <c r="L90">
        <f>(-0.5*H90*AK90*I90*'Input data'!$B$19*D90/AF90)-'Input data'!$B$23</f>
        <v>-5.6828540985272786</v>
      </c>
      <c r="M90">
        <f>IF(AF90&gt;0,IF(P89&lt;=Param_1,M89,M89+(B91*'Input data'!$B$24)),M89)</f>
        <v>56.236624987802145</v>
      </c>
      <c r="N90">
        <f>IF(AF90&gt;0,IF(P89&lt;=Param_1,N89,N89+(C91*'Input data'!$B$24)),N89)</f>
        <v>0</v>
      </c>
      <c r="O90">
        <f t="shared" si="15"/>
        <v>0</v>
      </c>
      <c r="P90">
        <f>IF(P89&lt;=-100000,0,IF(AF90&gt;0,IF(P89&lt;Param_1,P89,P89+(D91*'Input data'!$B$24)),P89))</f>
        <v>134.33049917460249</v>
      </c>
      <c r="Q90">
        <f t="shared" si="17"/>
        <v>56.236624987802145</v>
      </c>
      <c r="T90">
        <f t="shared" si="18"/>
        <v>56.236624987802145</v>
      </c>
      <c r="U90">
        <f t="shared" si="19"/>
        <v>0</v>
      </c>
      <c r="V90" s="74">
        <f>IF(X90=0,'Input data'!$Q$22,Q90)</f>
        <v>56.236624987802145</v>
      </c>
      <c r="W90" s="74">
        <f>IF(U90=0,'Input data'!$Q$23,U90)</f>
        <v>0</v>
      </c>
      <c r="X90" s="74">
        <f t="shared" si="12"/>
        <v>134.33049917460249</v>
      </c>
      <c r="Y90">
        <f>IF(P89&lt;Param_1,Y89,A91*'Input data'!$B$25*SIN(RADIANS('Input data'!$B$10)))</f>
        <v>0</v>
      </c>
      <c r="Z90">
        <f>IF(P89&lt;Param_1,Z89,A91*'Input data'!$B$25*COS(RADIANS('Input data'!$B$10)))</f>
        <v>34.999999999999943</v>
      </c>
      <c r="AA90">
        <f t="shared" si="23"/>
        <v>8.3999999999999861</v>
      </c>
      <c r="AB90">
        <f t="shared" si="24"/>
        <v>5.1999999999999975</v>
      </c>
      <c r="AC90">
        <f>IF(ROUND(A90*10,3)='Input data'!$B$14*10,M90,0)</f>
        <v>0</v>
      </c>
      <c r="AD90">
        <f>IF(ROUND(A90*10,3)='Input data'!$B$14*10,N90,0)</f>
        <v>0</v>
      </c>
      <c r="AE90">
        <f>IF(ROUND(A90*10,3)='Input data'!$B$14*10,P90,0)</f>
        <v>0</v>
      </c>
      <c r="AF90">
        <f>IF('Input data'!$B$26="C",IF((3.14159265*1860/4)*((0.001*'Input data'!$B$20)-(2*'Input data'!$B$28*A90))^2*((0.33333*0.001*'Input data'!$B$20)-(2*'Input data'!$B$28*A90))&lt;0,(3.14159265*1860/4)*((0.001*'Input data'!$B$20)-(2*'Input data'!$B$28*A90))^2*((0.33333*0.001*'Input data'!$B$20)-(2*'Input data'!$B$28*A90)),(3.14159265*1860/4)*((0.001*'Input data'!$B$20)-(2*'Input data'!$B$28*A90))^2*((0.33333*0.001*'Input data'!$B$20)-(2*'Input data'!$B$28*A90))),'Input data'!$B$21)</f>
        <v>0.40680208090393727</v>
      </c>
      <c r="AG90">
        <f t="shared" si="20"/>
        <v>0</v>
      </c>
      <c r="AH90">
        <f t="shared" si="21"/>
        <v>0</v>
      </c>
      <c r="AI90">
        <f t="shared" si="14"/>
        <v>0</v>
      </c>
      <c r="AJ90">
        <f t="shared" si="22"/>
        <v>3000</v>
      </c>
      <c r="AK90">
        <f>IF('Input data'!$B$26="S",'Input data'!$B$22,3.1415*(('Input data'!$B$20*0.0005)-('Input data'!$B$28*A90))^2)</f>
        <v>7.8539816250000026E-3</v>
      </c>
    </row>
    <row r="91" spans="1:37" x14ac:dyDescent="0.2">
      <c r="A91" s="9">
        <f>A90+'Input data'!$B$24</f>
        <v>8.3999999999999861</v>
      </c>
      <c r="B91">
        <f>B90+(J90*'Input data'!$B$24)</f>
        <v>6.344256295394608</v>
      </c>
      <c r="C91">
        <f>C90+(K90*'Input data'!$B$24)</f>
        <v>0</v>
      </c>
      <c r="D91">
        <f>D90+(L90*'Input data'!$B$24)</f>
        <v>-27.106606172645932</v>
      </c>
      <c r="E91">
        <f>IF('Input data'!$B$13=2,'Input data'!$B$25*((0.1036*LN(ABS(P90+1)))+0.8731),IF('Input data'!$B$13=3,'Input data'!$B$25*((0.139*LN(ABS(P90+1)))+0.7503),'Input data'!$B$25))</f>
        <v>5.7564157692026336</v>
      </c>
      <c r="F91">
        <f>E91*COS(RADIANS('Input data'!$B$10))</f>
        <v>5.7564157692026336</v>
      </c>
      <c r="G91">
        <f>E91*SIN(RADIANS('Input data'!$B$10))</f>
        <v>0</v>
      </c>
      <c r="H91">
        <f>1.22*EXP(-0.0001065*(P90+'Input data'!$B$12))</f>
        <v>1.2026706920598351</v>
      </c>
      <c r="I91">
        <f t="shared" si="16"/>
        <v>27.112979450498614</v>
      </c>
      <c r="J91">
        <f>-0.5*H91*I91*AK91*'Input data'!$B$19*(B91-F91)/AF91</f>
        <v>-9.328931345029548E-2</v>
      </c>
      <c r="K91">
        <f>-0.5*H91*I91*AK91*'Input data'!$B$19*(C91-G91)/AF91</f>
        <v>0</v>
      </c>
      <c r="L91">
        <f>(-0.5*H91*AK91*I91*'Input data'!$B$19*D91/AF91)-'Input data'!$B$23</f>
        <v>-5.5032267007092139</v>
      </c>
      <c r="M91">
        <f>IF(AF91&gt;0,IF(P90&lt;=Param_1,M90,M90+(B92*'Input data'!$B$24)),M90)</f>
        <v>56.870117724207105</v>
      </c>
      <c r="N91">
        <f>IF(AF91&gt;0,IF(P90&lt;=Param_1,N90,N90+(C92*'Input data'!$B$24)),N90)</f>
        <v>0</v>
      </c>
      <c r="O91">
        <f t="shared" si="15"/>
        <v>0</v>
      </c>
      <c r="P91">
        <f>IF(P90&lt;=-100000,0,IF(AF91&gt;0,IF(P90&lt;Param_1,P90,P90+(D92*'Input data'!$B$24)),P90))</f>
        <v>131.56480629033081</v>
      </c>
      <c r="Q91">
        <f t="shared" si="17"/>
        <v>56.870117724207105</v>
      </c>
      <c r="T91">
        <f t="shared" si="18"/>
        <v>56.870117724207105</v>
      </c>
      <c r="U91">
        <f t="shared" si="19"/>
        <v>0</v>
      </c>
      <c r="V91" s="74">
        <f>IF(X91=0,'Input data'!$Q$22,Q91)</f>
        <v>56.870117724207105</v>
      </c>
      <c r="W91" s="74">
        <f>IF(U91=0,'Input data'!$Q$23,U91)</f>
        <v>0</v>
      </c>
      <c r="X91" s="74">
        <f t="shared" si="12"/>
        <v>131.56480629033081</v>
      </c>
      <c r="Y91">
        <f>IF(P90&lt;Param_1,Y90,A92*'Input data'!$B$25*SIN(RADIANS('Input data'!$B$10)))</f>
        <v>0</v>
      </c>
      <c r="Z91">
        <f>IF(P90&lt;Param_1,Z90,A92*'Input data'!$B$25*COS(RADIANS('Input data'!$B$10)))</f>
        <v>35.416666666666607</v>
      </c>
      <c r="AA91">
        <f t="shared" si="23"/>
        <v>8.4999999999999858</v>
      </c>
      <c r="AB91">
        <f t="shared" si="24"/>
        <v>5.1999999999999975</v>
      </c>
      <c r="AC91">
        <f>IF(ROUND(A91*10,3)='Input data'!$B$14*10,M91,0)</f>
        <v>0</v>
      </c>
      <c r="AD91">
        <f>IF(ROUND(A91*10,3)='Input data'!$B$14*10,N91,0)</f>
        <v>0</v>
      </c>
      <c r="AE91">
        <f>IF(ROUND(A91*10,3)='Input data'!$B$14*10,P91,0)</f>
        <v>0</v>
      </c>
      <c r="AF91">
        <f>IF('Input data'!$B$26="C",IF((3.14159265*1860/4)*((0.001*'Input data'!$B$20)-(2*'Input data'!$B$28*A91))^2*((0.33333*0.001*'Input data'!$B$20)-(2*'Input data'!$B$28*A91))&lt;0,(3.14159265*1860/4)*((0.001*'Input data'!$B$20)-(2*'Input data'!$B$28*A91))^2*((0.33333*0.001*'Input data'!$B$20)-(2*'Input data'!$B$28*A91)),(3.14159265*1860/4)*((0.001*'Input data'!$B$20)-(2*'Input data'!$B$28*A91))^2*((0.33333*0.001*'Input data'!$B$20)-(2*'Input data'!$B$28*A91))),'Input data'!$B$21)</f>
        <v>0.40680208090393727</v>
      </c>
      <c r="AG91">
        <f t="shared" si="20"/>
        <v>0</v>
      </c>
      <c r="AH91">
        <f t="shared" si="21"/>
        <v>0</v>
      </c>
      <c r="AI91">
        <f t="shared" si="14"/>
        <v>0</v>
      </c>
      <c r="AJ91">
        <f t="shared" si="22"/>
        <v>3000</v>
      </c>
      <c r="AK91">
        <f>IF('Input data'!$B$26="S",'Input data'!$B$22,3.1415*(('Input data'!$B$20*0.0005)-('Input data'!$B$28*A91))^2)</f>
        <v>7.8539816250000026E-3</v>
      </c>
    </row>
    <row r="92" spans="1:37" x14ac:dyDescent="0.2">
      <c r="A92" s="9">
        <f>A91+'Input data'!$B$24</f>
        <v>8.4999999999999858</v>
      </c>
      <c r="B92">
        <f>B91+(J91*'Input data'!$B$24)</f>
        <v>6.3349273640495785</v>
      </c>
      <c r="C92">
        <f>C91+(K91*'Input data'!$B$24)</f>
        <v>0</v>
      </c>
      <c r="D92">
        <f>D91+(L91*'Input data'!$B$24)</f>
        <v>-27.656928842716855</v>
      </c>
      <c r="E92">
        <f>IF('Input data'!$B$13=2,'Input data'!$B$25*((0.1036*LN(ABS(P91+1)))+0.8731),IF('Input data'!$B$13=3,'Input data'!$B$25*((0.139*LN(ABS(P91+1)))+0.7503),'Input data'!$B$25))</f>
        <v>5.7475025869205743</v>
      </c>
      <c r="F92">
        <f>E92*COS(RADIANS('Input data'!$B$10))</f>
        <v>5.7475025869205743</v>
      </c>
      <c r="G92">
        <f>E92*SIN(RADIANS('Input data'!$B$10))</f>
        <v>0</v>
      </c>
      <c r="H92">
        <f>1.22*EXP(-0.0001065*(P91+'Input data'!$B$12))</f>
        <v>1.2030249864283735</v>
      </c>
      <c r="I92">
        <f t="shared" si="16"/>
        <v>27.663166501322447</v>
      </c>
      <c r="J92">
        <f>-0.5*H92*I92*AK92*'Input data'!$B$19*(B92-F92)/AF92</f>
        <v>-9.5143078594578878E-2</v>
      </c>
      <c r="K92">
        <f>-0.5*H92*I92*AK92*'Input data'!$B$19*(C92-G92)/AF92</f>
        <v>0</v>
      </c>
      <c r="L92">
        <f>(-0.5*H92*AK92*I92*'Input data'!$B$19*D92/AF92)-'Input data'!$B$23</f>
        <v>-5.3255066980186099</v>
      </c>
      <c r="M92">
        <f>IF(AF92&gt;0,IF(P91&lt;=Param_1,M91,M91+(B93*'Input data'!$B$24)),M91)</f>
        <v>57.50265902982612</v>
      </c>
      <c r="N92">
        <f>IF(AF92&gt;0,IF(P91&lt;=Param_1,N91,N91+(C93*'Input data'!$B$24)),N91)</f>
        <v>0</v>
      </c>
      <c r="O92">
        <f t="shared" si="15"/>
        <v>0</v>
      </c>
      <c r="P92">
        <f>IF(P91&lt;=-100000,0,IF(AF92&gt;0,IF(P91&lt;Param_1,P91,P91+(D93*'Input data'!$B$24)),P91))</f>
        <v>128.74585833907895</v>
      </c>
      <c r="Q92">
        <f t="shared" si="17"/>
        <v>57.50265902982612</v>
      </c>
      <c r="T92">
        <f t="shared" si="18"/>
        <v>57.50265902982612</v>
      </c>
      <c r="U92">
        <f t="shared" si="19"/>
        <v>0</v>
      </c>
      <c r="V92" s="74">
        <f>IF(X92=0,'Input data'!$Q$22,Q92)</f>
        <v>57.50265902982612</v>
      </c>
      <c r="W92" s="74">
        <f>IF(U92=0,'Input data'!$Q$23,U92)</f>
        <v>0</v>
      </c>
      <c r="X92" s="74">
        <f t="shared" si="12"/>
        <v>128.74585833907895</v>
      </c>
      <c r="Y92">
        <f>IF(P91&lt;Param_1,Y91,A93*'Input data'!$B$25*SIN(RADIANS('Input data'!$B$10)))</f>
        <v>0</v>
      </c>
      <c r="Z92">
        <f>IF(P91&lt;Param_1,Z91,A93*'Input data'!$B$25*COS(RADIANS('Input data'!$B$10)))</f>
        <v>35.833333333333272</v>
      </c>
      <c r="AA92">
        <f t="shared" si="23"/>
        <v>8.5999999999999854</v>
      </c>
      <c r="AB92">
        <f t="shared" si="24"/>
        <v>5.1999999999999975</v>
      </c>
      <c r="AC92">
        <f>IF(ROUND(A92*10,3)='Input data'!$B$14*10,M92,0)</f>
        <v>0</v>
      </c>
      <c r="AD92">
        <f>IF(ROUND(A92*10,3)='Input data'!$B$14*10,N92,0)</f>
        <v>0</v>
      </c>
      <c r="AE92">
        <f>IF(ROUND(A92*10,3)='Input data'!$B$14*10,P92,0)</f>
        <v>0</v>
      </c>
      <c r="AF92">
        <f>IF('Input data'!$B$26="C",IF((3.14159265*1860/4)*((0.001*'Input data'!$B$20)-(2*'Input data'!$B$28*A92))^2*((0.33333*0.001*'Input data'!$B$20)-(2*'Input data'!$B$28*A92))&lt;0,(3.14159265*1860/4)*((0.001*'Input data'!$B$20)-(2*'Input data'!$B$28*A92))^2*((0.33333*0.001*'Input data'!$B$20)-(2*'Input data'!$B$28*A92)),(3.14159265*1860/4)*((0.001*'Input data'!$B$20)-(2*'Input data'!$B$28*A92))^2*((0.33333*0.001*'Input data'!$B$20)-(2*'Input data'!$B$28*A92))),'Input data'!$B$21)</f>
        <v>0.40680208090393727</v>
      </c>
      <c r="AG92">
        <f t="shared" si="20"/>
        <v>0</v>
      </c>
      <c r="AH92">
        <f t="shared" si="21"/>
        <v>0</v>
      </c>
      <c r="AI92">
        <f t="shared" si="14"/>
        <v>0</v>
      </c>
      <c r="AJ92">
        <f t="shared" si="22"/>
        <v>3000</v>
      </c>
      <c r="AK92">
        <f>IF('Input data'!$B$26="S",'Input data'!$B$22,3.1415*(('Input data'!$B$20*0.0005)-('Input data'!$B$28*A92))^2)</f>
        <v>7.8539816250000026E-3</v>
      </c>
    </row>
    <row r="93" spans="1:37" x14ac:dyDescent="0.2">
      <c r="A93" s="9">
        <f>A92+'Input data'!$B$24</f>
        <v>8.5999999999999854</v>
      </c>
      <c r="B93">
        <f>B92+(J92*'Input data'!$B$24)</f>
        <v>6.3254130561901203</v>
      </c>
      <c r="C93">
        <f>C92+(K92*'Input data'!$B$24)</f>
        <v>0</v>
      </c>
      <c r="D93">
        <f>D92+(L92*'Input data'!$B$24)</f>
        <v>-28.189479512518716</v>
      </c>
      <c r="E93">
        <f>IF('Input data'!$B$13=2,'Input data'!$B$25*((0.1036*LN(ABS(P92+1)))+0.8731),IF('Input data'!$B$13=3,'Input data'!$B$25*((0.139*LN(ABS(P92+1)))+0.7503),'Input data'!$B$25))</f>
        <v>5.7382243311937966</v>
      </c>
      <c r="F93">
        <f>E93*COS(RADIANS('Input data'!$B$10))</f>
        <v>5.7382243311937966</v>
      </c>
      <c r="G93">
        <f>E93*SIN(RADIANS('Input data'!$B$10))</f>
        <v>0</v>
      </c>
      <c r="H93">
        <f>1.22*EXP(-0.0001065*(P92+'Input data'!$B$12))</f>
        <v>1.2033862103520294</v>
      </c>
      <c r="I93">
        <f t="shared" si="16"/>
        <v>28.195594439299825</v>
      </c>
      <c r="J93">
        <f>-0.5*H93*I93*AK93*'Input data'!$B$19*(B93-F93)/AF93</f>
        <v>-9.6964417857226773E-2</v>
      </c>
      <c r="K93">
        <f>-0.5*H93*I93*AK93*'Input data'!$B$19*(C93-G93)/AF93</f>
        <v>0</v>
      </c>
      <c r="L93">
        <f>(-0.5*H93*AK93*I93*'Input data'!$B$19*D93/AF93)-'Input data'!$B$23</f>
        <v>-5.1499779359324185</v>
      </c>
      <c r="M93">
        <f>IF(AF93&gt;0,IF(P92&lt;=Param_1,M92,M92+(B94*'Input data'!$B$24)),M92)</f>
        <v>58.134230691266559</v>
      </c>
      <c r="N93">
        <f>IF(AF93&gt;0,IF(P92&lt;=Param_1,N92,N92+(C94*'Input data'!$B$24)),N92)</f>
        <v>0</v>
      </c>
      <c r="O93">
        <f t="shared" si="15"/>
        <v>0</v>
      </c>
      <c r="P93">
        <f>IF(P92&lt;=-100000,0,IF(AF93&gt;0,IF(P92&lt;Param_1,P92,P92+(D94*'Input data'!$B$24)),P92))</f>
        <v>125.87541060846776</v>
      </c>
      <c r="Q93">
        <f t="shared" si="17"/>
        <v>58.134230691266559</v>
      </c>
      <c r="T93">
        <f t="shared" si="18"/>
        <v>58.134230691266559</v>
      </c>
      <c r="U93">
        <f t="shared" si="19"/>
        <v>0</v>
      </c>
      <c r="V93" s="74">
        <f>IF(X93=0,'Input data'!$Q$22,Q93)</f>
        <v>58.134230691266559</v>
      </c>
      <c r="W93" s="74">
        <f>IF(U93=0,'Input data'!$Q$23,U93)</f>
        <v>0</v>
      </c>
      <c r="X93" s="74">
        <f t="shared" si="12"/>
        <v>125.87541060846776</v>
      </c>
      <c r="Y93">
        <f>IF(P92&lt;Param_1,Y92,A94*'Input data'!$B$25*SIN(RADIANS('Input data'!$B$10)))</f>
        <v>0</v>
      </c>
      <c r="Z93">
        <f>IF(P92&lt;Param_1,Z92,A94*'Input data'!$B$25*COS(RADIANS('Input data'!$B$10)))</f>
        <v>36.249999999999943</v>
      </c>
      <c r="AA93">
        <f t="shared" si="23"/>
        <v>8.6999999999999851</v>
      </c>
      <c r="AB93">
        <f t="shared" si="24"/>
        <v>5.1999999999999975</v>
      </c>
      <c r="AC93">
        <f>IF(ROUND(A93*10,3)='Input data'!$B$14*10,M93,0)</f>
        <v>0</v>
      </c>
      <c r="AD93">
        <f>IF(ROUND(A93*10,3)='Input data'!$B$14*10,N93,0)</f>
        <v>0</v>
      </c>
      <c r="AE93">
        <f>IF(ROUND(A93*10,3)='Input data'!$B$14*10,P93,0)</f>
        <v>0</v>
      </c>
      <c r="AF93">
        <f>IF('Input data'!$B$26="C",IF((3.14159265*1860/4)*((0.001*'Input data'!$B$20)-(2*'Input data'!$B$28*A93))^2*((0.33333*0.001*'Input data'!$B$20)-(2*'Input data'!$B$28*A93))&lt;0,(3.14159265*1860/4)*((0.001*'Input data'!$B$20)-(2*'Input data'!$B$28*A93))^2*((0.33333*0.001*'Input data'!$B$20)-(2*'Input data'!$B$28*A93)),(3.14159265*1860/4)*((0.001*'Input data'!$B$20)-(2*'Input data'!$B$28*A93))^2*((0.33333*0.001*'Input data'!$B$20)-(2*'Input data'!$B$28*A93))),'Input data'!$B$21)</f>
        <v>0.40680208090393727</v>
      </c>
      <c r="AG93">
        <f t="shared" si="20"/>
        <v>0</v>
      </c>
      <c r="AH93">
        <f t="shared" si="21"/>
        <v>0</v>
      </c>
      <c r="AI93">
        <f t="shared" si="14"/>
        <v>0</v>
      </c>
      <c r="AJ93">
        <f t="shared" si="22"/>
        <v>3000</v>
      </c>
      <c r="AK93">
        <f>IF('Input data'!$B$26="S",'Input data'!$B$22,3.1415*(('Input data'!$B$20*0.0005)-('Input data'!$B$28*A93))^2)</f>
        <v>7.8539816250000026E-3</v>
      </c>
    </row>
    <row r="94" spans="1:37" x14ac:dyDescent="0.2">
      <c r="A94" s="9">
        <f>A93+'Input data'!$B$24</f>
        <v>8.6999999999999851</v>
      </c>
      <c r="B94">
        <f>B93+(J93*'Input data'!$B$24)</f>
        <v>6.3157166144043977</v>
      </c>
      <c r="C94">
        <f>C93+(K93*'Input data'!$B$24)</f>
        <v>0</v>
      </c>
      <c r="D94">
        <f>D93+(L93*'Input data'!$B$24)</f>
        <v>-28.704477306111958</v>
      </c>
      <c r="E94">
        <f>IF('Input data'!$B$13=2,'Input data'!$B$25*((0.1036*LN(ABS(P93+1)))+0.8731),IF('Input data'!$B$13=3,'Input data'!$B$25*((0.139*LN(ABS(P93+1)))+0.7503),'Input data'!$B$25))</f>
        <v>5.7285670780057529</v>
      </c>
      <c r="F94">
        <f>E94*COS(RADIANS('Input data'!$B$10))</f>
        <v>5.7285670780057529</v>
      </c>
      <c r="G94">
        <f>E94*SIN(RADIANS('Input data'!$B$10))</f>
        <v>0</v>
      </c>
      <c r="H94">
        <f>1.22*EXP(-0.0001065*(P93+'Input data'!$B$12))</f>
        <v>1.2037541449820288</v>
      </c>
      <c r="I94">
        <f t="shared" si="16"/>
        <v>28.710481744394144</v>
      </c>
      <c r="J94">
        <f>-0.5*H94*I94*AK94*'Input data'!$B$19*(B94-F94)/AF94</f>
        <v>-9.8758707743373378E-2</v>
      </c>
      <c r="K94">
        <f>-0.5*H94*I94*AK94*'Input data'!$B$19*(C94-G94)/AF94</f>
        <v>0</v>
      </c>
      <c r="L94">
        <f>(-0.5*H94*AK94*I94*'Input data'!$B$19*D94/AF94)-'Input data'!$B$23</f>
        <v>-4.9768993042414547</v>
      </c>
      <c r="M94">
        <f>IF(AF94&gt;0,IF(P93&lt;=Param_1,M93,M93+(B95*'Input data'!$B$24)),M93)</f>
        <v>58.764814765629566</v>
      </c>
      <c r="N94">
        <f>IF(AF94&gt;0,IF(P93&lt;=Param_1,N93,N93+(C95*'Input data'!$B$24)),N93)</f>
        <v>0</v>
      </c>
      <c r="O94">
        <f t="shared" si="15"/>
        <v>0</v>
      </c>
      <c r="P94">
        <f>IF(P93&lt;=-100000,0,IF(AF94&gt;0,IF(P93&lt;Param_1,P93,P93+(D95*'Input data'!$B$24)),P93))</f>
        <v>122.95519388481415</v>
      </c>
      <c r="Q94">
        <f t="shared" si="17"/>
        <v>58.764814765629566</v>
      </c>
      <c r="T94">
        <f t="shared" si="18"/>
        <v>58.764814765629566</v>
      </c>
      <c r="U94">
        <f t="shared" si="19"/>
        <v>0</v>
      </c>
      <c r="V94" s="74">
        <f>IF(X94=0,'Input data'!$Q$22,Q94)</f>
        <v>58.764814765629566</v>
      </c>
      <c r="W94" s="74">
        <f>IF(U94=0,'Input data'!$Q$23,U94)</f>
        <v>0</v>
      </c>
      <c r="X94" s="74">
        <f t="shared" si="12"/>
        <v>122.95519388481415</v>
      </c>
      <c r="Y94">
        <f>IF(P93&lt;Param_1,Y93,A95*'Input data'!$B$25*SIN(RADIANS('Input data'!$B$10)))</f>
        <v>0</v>
      </c>
      <c r="Z94">
        <f>IF(P93&lt;Param_1,Z93,A95*'Input data'!$B$25*COS(RADIANS('Input data'!$B$10)))</f>
        <v>36.666666666666607</v>
      </c>
      <c r="AA94">
        <f t="shared" si="23"/>
        <v>8.7999999999999847</v>
      </c>
      <c r="AB94">
        <f t="shared" si="24"/>
        <v>5.1999999999999975</v>
      </c>
      <c r="AC94">
        <f>IF(ROUND(A94*10,3)='Input data'!$B$14*10,M94,0)</f>
        <v>0</v>
      </c>
      <c r="AD94">
        <f>IF(ROUND(A94*10,3)='Input data'!$B$14*10,N94,0)</f>
        <v>0</v>
      </c>
      <c r="AE94">
        <f>IF(ROUND(A94*10,3)='Input data'!$B$14*10,P94,0)</f>
        <v>0</v>
      </c>
      <c r="AF94">
        <f>IF('Input data'!$B$26="C",IF((3.14159265*1860/4)*((0.001*'Input data'!$B$20)-(2*'Input data'!$B$28*A94))^2*((0.33333*0.001*'Input data'!$B$20)-(2*'Input data'!$B$28*A94))&lt;0,(3.14159265*1860/4)*((0.001*'Input data'!$B$20)-(2*'Input data'!$B$28*A94))^2*((0.33333*0.001*'Input data'!$B$20)-(2*'Input data'!$B$28*A94)),(3.14159265*1860/4)*((0.001*'Input data'!$B$20)-(2*'Input data'!$B$28*A94))^2*((0.33333*0.001*'Input data'!$B$20)-(2*'Input data'!$B$28*A94))),'Input data'!$B$21)</f>
        <v>0.40680208090393727</v>
      </c>
      <c r="AG94">
        <f t="shared" si="20"/>
        <v>0</v>
      </c>
      <c r="AH94">
        <f t="shared" si="21"/>
        <v>0</v>
      </c>
      <c r="AI94">
        <f t="shared" si="14"/>
        <v>0</v>
      </c>
      <c r="AJ94">
        <f t="shared" si="22"/>
        <v>3000</v>
      </c>
      <c r="AK94">
        <f>IF('Input data'!$B$26="S",'Input data'!$B$22,3.1415*(('Input data'!$B$20*0.0005)-('Input data'!$B$28*A94))^2)</f>
        <v>7.8539816250000026E-3</v>
      </c>
    </row>
    <row r="95" spans="1:37" x14ac:dyDescent="0.2">
      <c r="A95" s="9">
        <f>A94+'Input data'!$B$24</f>
        <v>8.7999999999999847</v>
      </c>
      <c r="B95">
        <f>B94+(J94*'Input data'!$B$24)</f>
        <v>6.3058407436300605</v>
      </c>
      <c r="C95">
        <f>C94+(K94*'Input data'!$B$24)</f>
        <v>0</v>
      </c>
      <c r="D95">
        <f>D94+(L94*'Input data'!$B$24)</f>
        <v>-29.202167236536102</v>
      </c>
      <c r="E95">
        <f>IF('Input data'!$B$13=2,'Input data'!$B$25*((0.1036*LN(ABS(P94+1)))+0.8731),IF('Input data'!$B$13=3,'Input data'!$B$25*((0.139*LN(ABS(P94+1)))+0.7503),'Input data'!$B$25))</f>
        <v>5.7185155360214903</v>
      </c>
      <c r="F95">
        <f>E95*COS(RADIANS('Input data'!$B$10))</f>
        <v>5.7185155360214903</v>
      </c>
      <c r="G95">
        <f>E95*SIN(RADIANS('Input data'!$B$10))</f>
        <v>0</v>
      </c>
      <c r="H95">
        <f>1.22*EXP(-0.0001065*(P94+'Input data'!$B$12))</f>
        <v>1.2041285744513093</v>
      </c>
      <c r="I95">
        <f t="shared" si="16"/>
        <v>29.208072894494684</v>
      </c>
      <c r="J95">
        <f>-0.5*H95*I95*AK95*'Input data'!$B$19*(B95-F95)/AF95</f>
        <v>-0.10053164942740941</v>
      </c>
      <c r="K95">
        <f>-0.5*H95*I95*AK95*'Input data'!$B$19*(C95-G95)/AF95</f>
        <v>0</v>
      </c>
      <c r="L95">
        <f>(-0.5*H95*AK95*I95*'Input data'!$B$19*D95/AF95)-'Input data'!$B$23</f>
        <v>-4.8065051267804808</v>
      </c>
      <c r="M95">
        <f>IF(AF95&gt;0,IF(P94&lt;=Param_1,M94,M94+(B96*'Input data'!$B$24)),M94)</f>
        <v>59.394393523498302</v>
      </c>
      <c r="N95">
        <f>IF(AF95&gt;0,IF(P94&lt;=Param_1,N94,N94+(C96*'Input data'!$B$24)),N94)</f>
        <v>0</v>
      </c>
      <c r="O95">
        <f t="shared" si="15"/>
        <v>0</v>
      </c>
      <c r="P95">
        <f>IF(P94&lt;=-100000,0,IF(AF95&gt;0,IF(P94&lt;Param_1,P94,P94+(D96*'Input data'!$B$24)),P94))</f>
        <v>119.98691210989273</v>
      </c>
      <c r="Q95">
        <f t="shared" si="17"/>
        <v>59.394393523498302</v>
      </c>
      <c r="T95">
        <f t="shared" si="18"/>
        <v>59.394393523498302</v>
      </c>
      <c r="U95">
        <f t="shared" si="19"/>
        <v>0</v>
      </c>
      <c r="V95" s="74">
        <f>IF(X95=0,'Input data'!$Q$22,Q95)</f>
        <v>59.394393523498302</v>
      </c>
      <c r="W95" s="74">
        <f>IF(U95=0,'Input data'!$Q$23,U95)</f>
        <v>0</v>
      </c>
      <c r="X95" s="74">
        <f t="shared" ref="X95:X158" si="25">IF(P95&lt;0,0,P95)</f>
        <v>119.98691210989273</v>
      </c>
      <c r="Y95">
        <f>IF(P94&lt;Param_1,Y94,A96*'Input data'!$B$25*SIN(RADIANS('Input data'!$B$10)))</f>
        <v>0</v>
      </c>
      <c r="Z95">
        <f>IF(P94&lt;Param_1,Z94,A96*'Input data'!$B$25*COS(RADIANS('Input data'!$B$10)))</f>
        <v>37.083333333333272</v>
      </c>
      <c r="AA95">
        <f t="shared" si="23"/>
        <v>8.8999999999999844</v>
      </c>
      <c r="AB95">
        <f t="shared" si="24"/>
        <v>5.1999999999999975</v>
      </c>
      <c r="AC95">
        <f>IF(ROUND(A95*10,3)='Input data'!$B$14*10,M95,0)</f>
        <v>0</v>
      </c>
      <c r="AD95">
        <f>IF(ROUND(A95*10,3)='Input data'!$B$14*10,N95,0)</f>
        <v>0</v>
      </c>
      <c r="AE95">
        <f>IF(ROUND(A95*10,3)='Input data'!$B$14*10,P95,0)</f>
        <v>0</v>
      </c>
      <c r="AF95">
        <f>IF('Input data'!$B$26="C",IF((3.14159265*1860/4)*((0.001*'Input data'!$B$20)-(2*'Input data'!$B$28*A95))^2*((0.33333*0.001*'Input data'!$B$20)-(2*'Input data'!$B$28*A95))&lt;0,(3.14159265*1860/4)*((0.001*'Input data'!$B$20)-(2*'Input data'!$B$28*A95))^2*((0.33333*0.001*'Input data'!$B$20)-(2*'Input data'!$B$28*A95)),(3.14159265*1860/4)*((0.001*'Input data'!$B$20)-(2*'Input data'!$B$28*A95))^2*((0.33333*0.001*'Input data'!$B$20)-(2*'Input data'!$B$28*A95))),'Input data'!$B$21)</f>
        <v>0.40680208090393727</v>
      </c>
      <c r="AG95">
        <f t="shared" si="20"/>
        <v>0</v>
      </c>
      <c r="AH95">
        <f t="shared" si="21"/>
        <v>0</v>
      </c>
      <c r="AI95">
        <f t="shared" si="14"/>
        <v>0</v>
      </c>
      <c r="AJ95">
        <f t="shared" si="22"/>
        <v>3000</v>
      </c>
      <c r="AK95">
        <f>IF('Input data'!$B$26="S",'Input data'!$B$22,3.1415*(('Input data'!$B$20*0.0005)-('Input data'!$B$28*A95))^2)</f>
        <v>7.8539816250000026E-3</v>
      </c>
    </row>
    <row r="96" spans="1:37" x14ac:dyDescent="0.2">
      <c r="A96" s="9">
        <f>A95+'Input data'!$B$24</f>
        <v>8.8999999999999844</v>
      </c>
      <c r="B96">
        <f>B95+(J95*'Input data'!$B$24)</f>
        <v>6.2957875786873192</v>
      </c>
      <c r="C96">
        <f>C95+(K95*'Input data'!$B$24)</f>
        <v>0</v>
      </c>
      <c r="D96">
        <f>D95+(L95*'Input data'!$B$24)</f>
        <v>-29.682817749214149</v>
      </c>
      <c r="E96">
        <f>IF('Input data'!$B$13=2,'Input data'!$B$25*((0.1036*LN(ABS(P95+1)))+0.8731),IF('Input data'!$B$13=3,'Input data'!$B$25*((0.139*LN(ABS(P95+1)))+0.7503),'Input data'!$B$25))</f>
        <v>5.7080528920327742</v>
      </c>
      <c r="F96">
        <f>E96*COS(RADIANS('Input data'!$B$10))</f>
        <v>5.7080528920327742</v>
      </c>
      <c r="G96">
        <f>E96*SIN(RADIANS('Input data'!$B$10))</f>
        <v>0</v>
      </c>
      <c r="H96">
        <f>1.22*EXP(-0.0001065*(P95+'Input data'!$B$12))</f>
        <v>1.2045092861679001</v>
      </c>
      <c r="I96">
        <f t="shared" si="16"/>
        <v>29.688635899868476</v>
      </c>
      <c r="J96">
        <f>-0.5*H96*I96*AK96*'Input data'!$B$19*(B96-F96)/AF96</f>
        <v>-0.1022892794871469</v>
      </c>
      <c r="K96">
        <f>-0.5*H96*I96*AK96*'Input data'!$B$19*(C96-G96)/AF96</f>
        <v>0</v>
      </c>
      <c r="L96">
        <f>(-0.5*H96*AK96*I96*'Input data'!$B$19*D96/AF96)-'Input data'!$B$23</f>
        <v>-4.6390057007728904</v>
      </c>
      <c r="M96">
        <f>IF(AF96&gt;0,IF(P95&lt;=Param_1,M95,M95+(B97*'Input data'!$B$24)),M95)</f>
        <v>60.022949388572165</v>
      </c>
      <c r="N96">
        <f>IF(AF96&gt;0,IF(P95&lt;=Param_1,N95,N95+(C97*'Input data'!$B$24)),N95)</f>
        <v>0</v>
      </c>
      <c r="O96">
        <f t="shared" si="15"/>
        <v>0</v>
      </c>
      <c r="P96">
        <f>IF(P95&lt;=-100000,0,IF(AF96&gt;0,IF(P95&lt;Param_1,P95,P95+(D97*'Input data'!$B$24)),P95))</f>
        <v>116.97224027796358</v>
      </c>
      <c r="Q96">
        <f t="shared" si="17"/>
        <v>60.022949388572165</v>
      </c>
      <c r="T96">
        <f t="shared" si="18"/>
        <v>60.022949388572165</v>
      </c>
      <c r="U96">
        <f t="shared" si="19"/>
        <v>0</v>
      </c>
      <c r="V96" s="74">
        <f>IF(X96=0,'Input data'!$Q$22,Q96)</f>
        <v>60.022949388572165</v>
      </c>
      <c r="W96" s="74">
        <f>IF(U96=0,'Input data'!$Q$23,U96)</f>
        <v>0</v>
      </c>
      <c r="X96" s="74">
        <f t="shared" si="25"/>
        <v>116.97224027796358</v>
      </c>
      <c r="Y96">
        <f>IF(P95&lt;Param_1,Y95,A97*'Input data'!$B$25*SIN(RADIANS('Input data'!$B$10)))</f>
        <v>0</v>
      </c>
      <c r="Z96">
        <f>IF(P95&lt;Param_1,Z95,A97*'Input data'!$B$25*COS(RADIANS('Input data'!$B$10)))</f>
        <v>37.499999999999936</v>
      </c>
      <c r="AA96">
        <f t="shared" si="23"/>
        <v>8.999999999999984</v>
      </c>
      <c r="AB96">
        <f t="shared" si="24"/>
        <v>5.1999999999999975</v>
      </c>
      <c r="AC96">
        <f>IF(ROUND(A96*10,3)='Input data'!$B$14*10,M96,0)</f>
        <v>0</v>
      </c>
      <c r="AD96">
        <f>IF(ROUND(A96*10,3)='Input data'!$B$14*10,N96,0)</f>
        <v>0</v>
      </c>
      <c r="AE96">
        <f>IF(ROUND(A96*10,3)='Input data'!$B$14*10,P96,0)</f>
        <v>0</v>
      </c>
      <c r="AF96">
        <f>IF('Input data'!$B$26="C",IF((3.14159265*1860/4)*((0.001*'Input data'!$B$20)-(2*'Input data'!$B$28*A96))^2*((0.33333*0.001*'Input data'!$B$20)-(2*'Input data'!$B$28*A96))&lt;0,(3.14159265*1860/4)*((0.001*'Input data'!$B$20)-(2*'Input data'!$B$28*A96))^2*((0.33333*0.001*'Input data'!$B$20)-(2*'Input data'!$B$28*A96)),(3.14159265*1860/4)*((0.001*'Input data'!$B$20)-(2*'Input data'!$B$28*A96))^2*((0.33333*0.001*'Input data'!$B$20)-(2*'Input data'!$B$28*A96))),'Input data'!$B$21)</f>
        <v>0.40680208090393727</v>
      </c>
      <c r="AG96">
        <f t="shared" si="20"/>
        <v>0</v>
      </c>
      <c r="AH96">
        <f t="shared" si="21"/>
        <v>0</v>
      </c>
      <c r="AI96">
        <f t="shared" si="14"/>
        <v>0</v>
      </c>
      <c r="AJ96">
        <f t="shared" si="22"/>
        <v>3000</v>
      </c>
      <c r="AK96">
        <f>IF('Input data'!$B$26="S",'Input data'!$B$22,3.1415*(('Input data'!$B$20*0.0005)-('Input data'!$B$28*A96))^2)</f>
        <v>7.8539816250000026E-3</v>
      </c>
    </row>
    <row r="97" spans="1:37" x14ac:dyDescent="0.2">
      <c r="A97" s="9">
        <f>A96+'Input data'!$B$24</f>
        <v>8.999999999999984</v>
      </c>
      <c r="B97">
        <f>B96+(J96*'Input data'!$B$24)</f>
        <v>6.2855586507386043</v>
      </c>
      <c r="C97">
        <f>C96+(K96*'Input data'!$B$24)</f>
        <v>0</v>
      </c>
      <c r="D97">
        <f>D96+(L96*'Input data'!$B$24)</f>
        <v>-30.146718319291438</v>
      </c>
      <c r="E97">
        <f>IF('Input data'!$B$13=2,'Input data'!$B$25*((0.1036*LN(ABS(P96+1)))+0.8731),IF('Input data'!$B$13=3,'Input data'!$B$25*((0.139*LN(ABS(P96+1)))+0.7503),'Input data'!$B$25))</f>
        <v>5.6971606338852592</v>
      </c>
      <c r="F97">
        <f>E97*COS(RADIANS('Input data'!$B$10))</f>
        <v>5.6971606338852592</v>
      </c>
      <c r="G97">
        <f>E97*SIN(RADIANS('Input data'!$B$10))</f>
        <v>0</v>
      </c>
      <c r="H97">
        <f>1.22*EXP(-0.0001065*(P96+'Input data'!$B$12))</f>
        <v>1.2048960710786893</v>
      </c>
      <c r="I97">
        <f t="shared" si="16"/>
        <v>30.152459893828546</v>
      </c>
      <c r="J97">
        <f>-0.5*H97*I97*AK97*'Input data'!$B$19*(B97-F97)/AF97</f>
        <v>-0.10403798636859059</v>
      </c>
      <c r="K97">
        <f>-0.5*H97*I97*AK97*'Input data'!$B$19*(C97-G97)/AF97</f>
        <v>0</v>
      </c>
      <c r="L97">
        <f>(-0.5*H97*AK97*I97*'Input data'!$B$19*D97/AF97)-'Input data'!$B$23</f>
        <v>-4.4745879664361388</v>
      </c>
      <c r="M97">
        <f>IF(AF97&gt;0,IF(P96&lt;=Param_1,M96,M96+(B98*'Input data'!$B$24)),M96)</f>
        <v>60.65046487378234</v>
      </c>
      <c r="N97">
        <f>IF(AF97&gt;0,IF(P96&lt;=Param_1,N96,N96+(C98*'Input data'!$B$24)),N96)</f>
        <v>0</v>
      </c>
      <c r="O97">
        <f t="shared" si="15"/>
        <v>0</v>
      </c>
      <c r="P97">
        <f>IF(P96&lt;=-100000,0,IF(AF97&gt;0,IF(P96&lt;Param_1,P96,P96+(D98*'Input data'!$B$24)),P96))</f>
        <v>113.91282256637007</v>
      </c>
      <c r="Q97">
        <f t="shared" si="17"/>
        <v>60.65046487378234</v>
      </c>
      <c r="T97">
        <f t="shared" si="18"/>
        <v>60.65046487378234</v>
      </c>
      <c r="U97">
        <f t="shared" si="19"/>
        <v>0</v>
      </c>
      <c r="V97" s="74">
        <f>IF(X97=0,'Input data'!$Q$22,Q97)</f>
        <v>60.65046487378234</v>
      </c>
      <c r="W97" s="74">
        <f>IF(U97=0,'Input data'!$Q$23,U97)</f>
        <v>0</v>
      </c>
      <c r="X97" s="74">
        <f t="shared" si="25"/>
        <v>113.91282256637007</v>
      </c>
      <c r="Y97">
        <f>IF(P96&lt;Param_1,Y96,A98*'Input data'!$B$25*SIN(RADIANS('Input data'!$B$10)))</f>
        <v>0</v>
      </c>
      <c r="Z97">
        <f>IF(P96&lt;Param_1,Z96,A98*'Input data'!$B$25*COS(RADIANS('Input data'!$B$10)))</f>
        <v>37.9166666666666</v>
      </c>
      <c r="AA97">
        <f t="shared" si="23"/>
        <v>9.0999999999999837</v>
      </c>
      <c r="AB97">
        <f t="shared" si="24"/>
        <v>5.1999999999999975</v>
      </c>
      <c r="AC97">
        <f>IF(ROUND(A97*10,3)='Input data'!$B$14*10,M97,0)</f>
        <v>0</v>
      </c>
      <c r="AD97">
        <f>IF(ROUND(A97*10,3)='Input data'!$B$14*10,N97,0)</f>
        <v>0</v>
      </c>
      <c r="AE97">
        <f>IF(ROUND(A97*10,3)='Input data'!$B$14*10,P97,0)</f>
        <v>0</v>
      </c>
      <c r="AF97">
        <f>IF('Input data'!$B$26="C",IF((3.14159265*1860/4)*((0.001*'Input data'!$B$20)-(2*'Input data'!$B$28*A97))^2*((0.33333*0.001*'Input data'!$B$20)-(2*'Input data'!$B$28*A97))&lt;0,(3.14159265*1860/4)*((0.001*'Input data'!$B$20)-(2*'Input data'!$B$28*A97))^2*((0.33333*0.001*'Input data'!$B$20)-(2*'Input data'!$B$28*A97)),(3.14159265*1860/4)*((0.001*'Input data'!$B$20)-(2*'Input data'!$B$28*A97))^2*((0.33333*0.001*'Input data'!$B$20)-(2*'Input data'!$B$28*A97))),'Input data'!$B$21)</f>
        <v>0.40680208090393727</v>
      </c>
      <c r="AG97">
        <f t="shared" si="20"/>
        <v>0</v>
      </c>
      <c r="AH97">
        <f t="shared" si="21"/>
        <v>0</v>
      </c>
      <c r="AI97">
        <f t="shared" si="14"/>
        <v>0</v>
      </c>
      <c r="AJ97">
        <f t="shared" si="22"/>
        <v>3000</v>
      </c>
      <c r="AK97">
        <f>IF('Input data'!$B$26="S",'Input data'!$B$22,3.1415*(('Input data'!$B$20*0.0005)-('Input data'!$B$28*A97))^2)</f>
        <v>7.8539816250000026E-3</v>
      </c>
    </row>
    <row r="98" spans="1:37" x14ac:dyDescent="0.2">
      <c r="A98" s="9">
        <f>A97+'Input data'!$B$24</f>
        <v>9.0999999999999837</v>
      </c>
      <c r="B98">
        <f>B97+(J97*'Input data'!$B$24)</f>
        <v>6.2751548521017453</v>
      </c>
      <c r="C98">
        <f>C97+(K97*'Input data'!$B$24)</f>
        <v>0</v>
      </c>
      <c r="D98">
        <f>D97+(L97*'Input data'!$B$24)</f>
        <v>-30.59417711593505</v>
      </c>
      <c r="E98">
        <f>IF('Input data'!$B$13=2,'Input data'!$B$25*((0.1036*LN(ABS(P97+1)))+0.8731),IF('Input data'!$B$13=3,'Input data'!$B$25*((0.139*LN(ABS(P97+1)))+0.7503),'Input data'!$B$25))</f>
        <v>5.6858183467464913</v>
      </c>
      <c r="F98">
        <f>E98*COS(RADIANS('Input data'!$B$10))</f>
        <v>5.6858183467464913</v>
      </c>
      <c r="G98">
        <f>E98*SIN(RADIANS('Input data'!$B$10))</f>
        <v>0</v>
      </c>
      <c r="H98">
        <f>1.22*EXP(-0.0001065*(P97+'Input data'!$B$12))</f>
        <v>1.205288723904377</v>
      </c>
      <c r="I98">
        <f t="shared" si="16"/>
        <v>30.599852792419576</v>
      </c>
      <c r="J98">
        <f>-0.5*H98*I98*AK98*'Input data'!$B$19*(B98-F98)/AF98</f>
        <v>-0.10578453349075866</v>
      </c>
      <c r="K98">
        <f>-0.5*H98*I98*AK98*'Input data'!$B$19*(C98-G98)/AF98</f>
        <v>0</v>
      </c>
      <c r="L98">
        <f>(-0.5*H98*AK98*I98*'Input data'!$B$19*D98/AF98)-'Input data'!$B$23</f>
        <v>-4.3134162879203855</v>
      </c>
      <c r="M98">
        <f>IF(AF98&gt;0,IF(P97&lt;=Param_1,M97,M97+(B99*'Input data'!$B$24)),M97)</f>
        <v>61.27692251365761</v>
      </c>
      <c r="N98">
        <f>IF(AF98&gt;0,IF(P97&lt;=Param_1,N97,N97+(C99*'Input data'!$B$24)),N97)</f>
        <v>0</v>
      </c>
      <c r="O98">
        <f t="shared" si="15"/>
        <v>0</v>
      </c>
      <c r="P98">
        <f>IF(P97&lt;=-100000,0,IF(AF98&gt;0,IF(P97&lt;Param_1,P97,P97+(D99*'Input data'!$B$24)),P97))</f>
        <v>110.81027069189736</v>
      </c>
      <c r="Q98">
        <f t="shared" si="17"/>
        <v>61.27692251365761</v>
      </c>
      <c r="T98">
        <f t="shared" si="18"/>
        <v>61.27692251365761</v>
      </c>
      <c r="U98">
        <f t="shared" si="19"/>
        <v>0</v>
      </c>
      <c r="V98" s="74">
        <f>IF(X98=0,'Input data'!$Q$22,Q98)</f>
        <v>61.27692251365761</v>
      </c>
      <c r="W98" s="74">
        <f>IF(U98=0,'Input data'!$Q$23,U98)</f>
        <v>0</v>
      </c>
      <c r="X98" s="74">
        <f t="shared" si="25"/>
        <v>110.81027069189736</v>
      </c>
      <c r="Y98">
        <f>IF(P97&lt;Param_1,Y97,A99*'Input data'!$B$25*SIN(RADIANS('Input data'!$B$10)))</f>
        <v>0</v>
      </c>
      <c r="Z98">
        <f>IF(P97&lt;Param_1,Z97,A99*'Input data'!$B$25*COS(RADIANS('Input data'!$B$10)))</f>
        <v>38.333333333333265</v>
      </c>
      <c r="AA98">
        <f t="shared" si="23"/>
        <v>9.1999999999999833</v>
      </c>
      <c r="AB98">
        <f t="shared" si="24"/>
        <v>5.1999999999999975</v>
      </c>
      <c r="AC98">
        <f>IF(ROUND(A98*10,3)='Input data'!$B$14*10,M98,0)</f>
        <v>0</v>
      </c>
      <c r="AD98">
        <f>IF(ROUND(A98*10,3)='Input data'!$B$14*10,N98,0)</f>
        <v>0</v>
      </c>
      <c r="AE98">
        <f>IF(ROUND(A98*10,3)='Input data'!$B$14*10,P98,0)</f>
        <v>0</v>
      </c>
      <c r="AF98">
        <f>IF('Input data'!$B$26="C",IF((3.14159265*1860/4)*((0.001*'Input data'!$B$20)-(2*'Input data'!$B$28*A98))^2*((0.33333*0.001*'Input data'!$B$20)-(2*'Input data'!$B$28*A98))&lt;0,(3.14159265*1860/4)*((0.001*'Input data'!$B$20)-(2*'Input data'!$B$28*A98))^2*((0.33333*0.001*'Input data'!$B$20)-(2*'Input data'!$B$28*A98)),(3.14159265*1860/4)*((0.001*'Input data'!$B$20)-(2*'Input data'!$B$28*A98))^2*((0.33333*0.001*'Input data'!$B$20)-(2*'Input data'!$B$28*A98))),'Input data'!$B$21)</f>
        <v>0.40680208090393727</v>
      </c>
      <c r="AG98">
        <f t="shared" si="20"/>
        <v>0</v>
      </c>
      <c r="AH98">
        <f t="shared" si="21"/>
        <v>0</v>
      </c>
      <c r="AI98">
        <f t="shared" si="14"/>
        <v>0</v>
      </c>
      <c r="AJ98">
        <f t="shared" si="22"/>
        <v>3000</v>
      </c>
      <c r="AK98">
        <f>IF('Input data'!$B$26="S",'Input data'!$B$22,3.1415*(('Input data'!$B$20*0.0005)-('Input data'!$B$28*A98))^2)</f>
        <v>7.8539816250000026E-3</v>
      </c>
    </row>
    <row r="99" spans="1:37" x14ac:dyDescent="0.2">
      <c r="A99" s="9">
        <f>A98+'Input data'!$B$24</f>
        <v>9.1999999999999833</v>
      </c>
      <c r="B99">
        <f>B98+(J98*'Input data'!$B$24)</f>
        <v>6.264576398752669</v>
      </c>
      <c r="C99">
        <f>C98+(K98*'Input data'!$B$24)</f>
        <v>0</v>
      </c>
      <c r="D99">
        <f>D98+(L98*'Input data'!$B$24)</f>
        <v>-31.025518744727087</v>
      </c>
      <c r="E99">
        <f>IF('Input data'!$B$13=2,'Input data'!$B$25*((0.1036*LN(ABS(P98+1)))+0.8731),IF('Input data'!$B$13=3,'Input data'!$B$25*((0.139*LN(ABS(P98+1)))+0.7503),'Input data'!$B$25))</f>
        <v>5.6740034776620547</v>
      </c>
      <c r="F99">
        <f>E99*COS(RADIANS('Input data'!$B$10))</f>
        <v>5.6740034776620547</v>
      </c>
      <c r="G99">
        <f>E99*SIN(RADIANS('Input data'!$B$10))</f>
        <v>0</v>
      </c>
      <c r="H99">
        <f>1.22*EXP(-0.0001065*(P98+'Input data'!$B$12))</f>
        <v>1.2056870433465572</v>
      </c>
      <c r="I99">
        <f t="shared" si="16"/>
        <v>31.031139034114382</v>
      </c>
      <c r="J99">
        <f>-0.5*H99*I99*AK99*'Input data'!$B$19*(B99-F99)/AF99</f>
        <v>-0.10753609006990787</v>
      </c>
      <c r="K99">
        <f>-0.5*H99*I99*AK99*'Input data'!$B$19*(C99-G99)/AF99</f>
        <v>0</v>
      </c>
      <c r="L99">
        <f>(-0.5*H99*AK99*I99*'Input data'!$B$19*D99/AF99)-'Input data'!$B$23</f>
        <v>-4.1556333273166217</v>
      </c>
      <c r="M99">
        <f>IF(AF99&gt;0,IF(P98&lt;=Param_1,M98,M98+(B100*'Input data'!$B$24)),M98)</f>
        <v>61.902304792632179</v>
      </c>
      <c r="N99">
        <f>IF(AF99&gt;0,IF(P98&lt;=Param_1,N98,N98+(C100*'Input data'!$B$24)),N98)</f>
        <v>0</v>
      </c>
      <c r="O99">
        <f t="shared" si="15"/>
        <v>0</v>
      </c>
      <c r="P99">
        <f>IF(P98&lt;=-100000,0,IF(AF99&gt;0,IF(P98&lt;Param_1,P98,P98+(D100*'Input data'!$B$24)),P98))</f>
        <v>107.66616248415149</v>
      </c>
      <c r="Q99">
        <f t="shared" si="17"/>
        <v>61.902304792632179</v>
      </c>
      <c r="T99">
        <f t="shared" si="18"/>
        <v>61.902304792632179</v>
      </c>
      <c r="U99">
        <f t="shared" si="19"/>
        <v>0</v>
      </c>
      <c r="V99" s="74">
        <f>IF(X99=0,'Input data'!$Q$22,Q99)</f>
        <v>61.902304792632179</v>
      </c>
      <c r="W99" s="74">
        <f>IF(U99=0,'Input data'!$Q$23,U99)</f>
        <v>0</v>
      </c>
      <c r="X99" s="74">
        <f t="shared" si="25"/>
        <v>107.66616248415149</v>
      </c>
      <c r="Y99">
        <f>IF(P98&lt;Param_1,Y98,A100*'Input data'!$B$25*SIN(RADIANS('Input data'!$B$10)))</f>
        <v>0</v>
      </c>
      <c r="Z99">
        <f>IF(P98&lt;Param_1,Z98,A100*'Input data'!$B$25*COS(RADIANS('Input data'!$B$10)))</f>
        <v>38.749999999999929</v>
      </c>
      <c r="AA99">
        <f t="shared" si="23"/>
        <v>9.2999999999999829</v>
      </c>
      <c r="AB99">
        <f t="shared" si="24"/>
        <v>5.1999999999999975</v>
      </c>
      <c r="AC99">
        <f>IF(ROUND(A99*10,3)='Input data'!$B$14*10,M99,0)</f>
        <v>0</v>
      </c>
      <c r="AD99">
        <f>IF(ROUND(A99*10,3)='Input data'!$B$14*10,N99,0)</f>
        <v>0</v>
      </c>
      <c r="AE99">
        <f>IF(ROUND(A99*10,3)='Input data'!$B$14*10,P99,0)</f>
        <v>0</v>
      </c>
      <c r="AF99">
        <f>IF('Input data'!$B$26="C",IF((3.14159265*1860/4)*((0.001*'Input data'!$B$20)-(2*'Input data'!$B$28*A99))^2*((0.33333*0.001*'Input data'!$B$20)-(2*'Input data'!$B$28*A99))&lt;0,(3.14159265*1860/4)*((0.001*'Input data'!$B$20)-(2*'Input data'!$B$28*A99))^2*((0.33333*0.001*'Input data'!$B$20)-(2*'Input data'!$B$28*A99)),(3.14159265*1860/4)*((0.001*'Input data'!$B$20)-(2*'Input data'!$B$28*A99))^2*((0.33333*0.001*'Input data'!$B$20)-(2*'Input data'!$B$28*A99))),'Input data'!$B$21)</f>
        <v>0.40680208090393727</v>
      </c>
      <c r="AG99">
        <f t="shared" si="20"/>
        <v>0</v>
      </c>
      <c r="AH99">
        <f t="shared" si="21"/>
        <v>0</v>
      </c>
      <c r="AI99">
        <f t="shared" ref="AI99:AI130" si="26">IF(AF99&lt;=0,P99,0)</f>
        <v>0</v>
      </c>
      <c r="AJ99">
        <f t="shared" si="22"/>
        <v>3000</v>
      </c>
      <c r="AK99">
        <f>IF('Input data'!$B$26="S",'Input data'!$B$22,3.1415*(('Input data'!$B$20*0.0005)-('Input data'!$B$28*A99))^2)</f>
        <v>7.8539816250000026E-3</v>
      </c>
    </row>
    <row r="100" spans="1:37" x14ac:dyDescent="0.2">
      <c r="A100" s="9">
        <f>A99+'Input data'!$B$24</f>
        <v>9.2999999999999829</v>
      </c>
      <c r="B100">
        <f>B99+(J99*'Input data'!$B$24)</f>
        <v>6.2538227897456782</v>
      </c>
      <c r="C100">
        <f>C99+(K99*'Input data'!$B$24)</f>
        <v>0</v>
      </c>
      <c r="D100">
        <f>D99+(L99*'Input data'!$B$24)</f>
        <v>-31.441082077458749</v>
      </c>
      <c r="E100">
        <f>IF('Input data'!$B$13=2,'Input data'!$B$25*((0.1036*LN(ABS(P99+1)))+0.8731),IF('Input data'!$B$13=3,'Input data'!$B$25*((0.139*LN(ABS(P99+1)))+0.7503),'Input data'!$B$25))</f>
        <v>5.6616910621993366</v>
      </c>
      <c r="F100">
        <f>E100*COS(RADIANS('Input data'!$B$10))</f>
        <v>5.6616910621993366</v>
      </c>
      <c r="G100">
        <f>E100*SIN(RADIANS('Input data'!$B$10))</f>
        <v>0</v>
      </c>
      <c r="H100">
        <f>1.22*EXP(-0.0001065*(P99+'Input data'!$B$12))</f>
        <v>1.2060908322679789</v>
      </c>
      <c r="I100">
        <f t="shared" si="16"/>
        <v>31.446657408765478</v>
      </c>
      <c r="J100">
        <f>-0.5*H100*I100*AK100*'Input data'!$B$19*(B100-F100)/AF100</f>
        <v>-0.10930027096450405</v>
      </c>
      <c r="K100">
        <f>-0.5*H100*I100*AK100*'Input data'!$B$19*(C100-G100)/AF100</f>
        <v>0</v>
      </c>
      <c r="L100">
        <f>(-0.5*H100*AK100*I100*'Input data'!$B$19*D100/AF100)-'Input data'!$B$23</f>
        <v>-4.0013609943287438</v>
      </c>
      <c r="M100">
        <f>IF(AF100&gt;0,IF(P99&lt;=Param_1,M99,M99+(B101*'Input data'!$B$24)),M99)</f>
        <v>62.526594068897104</v>
      </c>
      <c r="N100">
        <f>IF(AF100&gt;0,IF(P99&lt;=Param_1,N99,N99+(C101*'Input data'!$B$24)),N99)</f>
        <v>0</v>
      </c>
      <c r="O100">
        <f t="shared" si="15"/>
        <v>0</v>
      </c>
      <c r="P100">
        <f>IF(P99&lt;=-100000,0,IF(AF100&gt;0,IF(P99&lt;Param_1,P99,P99+(D101*'Input data'!$B$24)),P99))</f>
        <v>104.48204066646232</v>
      </c>
      <c r="Q100">
        <f t="shared" si="17"/>
        <v>62.526594068897104</v>
      </c>
      <c r="T100">
        <f t="shared" si="18"/>
        <v>62.526594068897104</v>
      </c>
      <c r="U100">
        <f t="shared" si="19"/>
        <v>0</v>
      </c>
      <c r="V100" s="74">
        <f>IF(X100=0,'Input data'!$Q$22,Q100)</f>
        <v>62.526594068897104</v>
      </c>
      <c r="W100" s="74">
        <f>IF(U100=0,'Input data'!$Q$23,U100)</f>
        <v>0</v>
      </c>
      <c r="X100" s="74">
        <f t="shared" si="25"/>
        <v>104.48204066646232</v>
      </c>
      <c r="Y100">
        <f>IF(P99&lt;Param_1,Y99,A101*'Input data'!$B$25*SIN(RADIANS('Input data'!$B$10)))</f>
        <v>0</v>
      </c>
      <c r="Z100">
        <f>IF(P99&lt;Param_1,Z99,A101*'Input data'!$B$25*COS(RADIANS('Input data'!$B$10)))</f>
        <v>39.1666666666666</v>
      </c>
      <c r="AA100">
        <f t="shared" si="23"/>
        <v>9.3999999999999826</v>
      </c>
      <c r="AB100">
        <f t="shared" si="24"/>
        <v>5.1999999999999975</v>
      </c>
      <c r="AC100">
        <f>IF(ROUND(A100*10,3)='Input data'!$B$14*10,M100,0)</f>
        <v>0</v>
      </c>
      <c r="AD100">
        <f>IF(ROUND(A100*10,3)='Input data'!$B$14*10,N100,0)</f>
        <v>0</v>
      </c>
      <c r="AE100">
        <f>IF(ROUND(A100*10,3)='Input data'!$B$14*10,P100,0)</f>
        <v>0</v>
      </c>
      <c r="AF100">
        <f>IF('Input data'!$B$26="C",IF((3.14159265*1860/4)*((0.001*'Input data'!$B$20)-(2*'Input data'!$B$28*A100))^2*((0.33333*0.001*'Input data'!$B$20)-(2*'Input data'!$B$28*A100))&lt;0,(3.14159265*1860/4)*((0.001*'Input data'!$B$20)-(2*'Input data'!$B$28*A100))^2*((0.33333*0.001*'Input data'!$B$20)-(2*'Input data'!$B$28*A100)),(3.14159265*1860/4)*((0.001*'Input data'!$B$20)-(2*'Input data'!$B$28*A100))^2*((0.33333*0.001*'Input data'!$B$20)-(2*'Input data'!$B$28*A100))),'Input data'!$B$21)</f>
        <v>0.40680208090393727</v>
      </c>
      <c r="AG100">
        <f t="shared" si="20"/>
        <v>0</v>
      </c>
      <c r="AH100">
        <f t="shared" si="21"/>
        <v>0</v>
      </c>
      <c r="AI100">
        <f t="shared" si="26"/>
        <v>0</v>
      </c>
      <c r="AJ100">
        <f t="shared" si="22"/>
        <v>3000</v>
      </c>
      <c r="AK100">
        <f>IF('Input data'!$B$26="S",'Input data'!$B$22,3.1415*(('Input data'!$B$20*0.0005)-('Input data'!$B$28*A100))^2)</f>
        <v>7.8539816250000026E-3</v>
      </c>
    </row>
    <row r="101" spans="1:37" x14ac:dyDescent="0.2">
      <c r="A101" s="9">
        <f>A100+'Input data'!$B$24</f>
        <v>9.3999999999999826</v>
      </c>
      <c r="B101">
        <f>B100+(J100*'Input data'!$B$24)</f>
        <v>6.2428927626492277</v>
      </c>
      <c r="C101">
        <f>C100+(K100*'Input data'!$B$24)</f>
        <v>0</v>
      </c>
      <c r="D101">
        <f>D100+(L100*'Input data'!$B$24)</f>
        <v>-31.841218176891623</v>
      </c>
      <c r="E101">
        <f>IF('Input data'!$B$13=2,'Input data'!$B$25*((0.1036*LN(ABS(P100+1)))+0.8731),IF('Input data'!$B$13=3,'Input data'!$B$25*((0.139*LN(ABS(P100+1)))+0.7503),'Input data'!$B$25))</f>
        <v>5.6488534055231314</v>
      </c>
      <c r="F101">
        <f>E101*COS(RADIANS('Input data'!$B$10))</f>
        <v>5.6488534055231314</v>
      </c>
      <c r="G101">
        <f>E101*SIN(RADIANS('Input data'!$B$10))</f>
        <v>0</v>
      </c>
      <c r="H101">
        <f>1.22*EXP(-0.0001065*(P100+'Input data'!$B$12))</f>
        <v>1.2064998978471424</v>
      </c>
      <c r="I101">
        <f t="shared" si="16"/>
        <v>31.846758983391517</v>
      </c>
      <c r="J101">
        <f>-0.5*H101*I101*AK101*'Input data'!$B$19*(B101-F101)/AF101</f>
        <v>-0.11108518713169696</v>
      </c>
      <c r="K101">
        <f>-0.5*H101*I101*AK101*'Input data'!$B$19*(C101-G101)/AF101</f>
        <v>0</v>
      </c>
      <c r="L101">
        <f>(-0.5*H101*AK101*I101*'Input data'!$B$19*D101/AF101)-'Input data'!$B$23</f>
        <v>-3.8507014552145549</v>
      </c>
      <c r="M101">
        <f>IF(AF101&gt;0,IF(P100&lt;=Param_1,M100,M100+(B102*'Input data'!$B$24)),M100)</f>
        <v>63.149772493290712</v>
      </c>
      <c r="N101">
        <f>IF(AF101&gt;0,IF(P100&lt;=Param_1,N100,N100+(C102*'Input data'!$B$24)),N100)</f>
        <v>0</v>
      </c>
      <c r="O101">
        <f t="shared" si="15"/>
        <v>0</v>
      </c>
      <c r="P101">
        <f>IF(P100&lt;=-100000,0,IF(AF101&gt;0,IF(P100&lt;Param_1,P100,P100+(D102*'Input data'!$B$24)),P100))</f>
        <v>101.25941183422101</v>
      </c>
      <c r="Q101">
        <f t="shared" si="17"/>
        <v>63.149772493290712</v>
      </c>
      <c r="T101">
        <f t="shared" si="18"/>
        <v>63.149772493290712</v>
      </c>
      <c r="U101">
        <f t="shared" si="19"/>
        <v>0</v>
      </c>
      <c r="V101" s="74">
        <f>IF(X101=0,'Input data'!$Q$22,Q101)</f>
        <v>63.149772493290712</v>
      </c>
      <c r="W101" s="74">
        <f>IF(U101=0,'Input data'!$Q$23,U101)</f>
        <v>0</v>
      </c>
      <c r="X101" s="74">
        <f t="shared" si="25"/>
        <v>101.25941183422101</v>
      </c>
      <c r="Y101">
        <f>IF(P100&lt;Param_1,Y100,A102*'Input data'!$B$25*SIN(RADIANS('Input data'!$B$10)))</f>
        <v>0</v>
      </c>
      <c r="Z101">
        <f>IF(P100&lt;Param_1,Z100,A102*'Input data'!$B$25*COS(RADIANS('Input data'!$B$10)))</f>
        <v>39.583333333333265</v>
      </c>
      <c r="AA101">
        <f t="shared" si="23"/>
        <v>9.4999999999999822</v>
      </c>
      <c r="AB101">
        <f t="shared" si="24"/>
        <v>5.1999999999999975</v>
      </c>
      <c r="AC101">
        <f>IF(ROUND(A101*10,3)='Input data'!$B$14*10,M101,0)</f>
        <v>0</v>
      </c>
      <c r="AD101">
        <f>IF(ROUND(A101*10,3)='Input data'!$B$14*10,N101,0)</f>
        <v>0</v>
      </c>
      <c r="AE101">
        <f>IF(ROUND(A101*10,3)='Input data'!$B$14*10,P101,0)</f>
        <v>0</v>
      </c>
      <c r="AF101">
        <f>IF('Input data'!$B$26="C",IF((3.14159265*1860/4)*((0.001*'Input data'!$B$20)-(2*'Input data'!$B$28*A101))^2*((0.33333*0.001*'Input data'!$B$20)-(2*'Input data'!$B$28*A101))&lt;0,(3.14159265*1860/4)*((0.001*'Input data'!$B$20)-(2*'Input data'!$B$28*A101))^2*((0.33333*0.001*'Input data'!$B$20)-(2*'Input data'!$B$28*A101)),(3.14159265*1860/4)*((0.001*'Input data'!$B$20)-(2*'Input data'!$B$28*A101))^2*((0.33333*0.001*'Input data'!$B$20)-(2*'Input data'!$B$28*A101))),'Input data'!$B$21)</f>
        <v>0.40680208090393727</v>
      </c>
      <c r="AG101">
        <f t="shared" si="20"/>
        <v>0</v>
      </c>
      <c r="AH101">
        <f t="shared" si="21"/>
        <v>0</v>
      </c>
      <c r="AI101">
        <f t="shared" si="26"/>
        <v>0</v>
      </c>
      <c r="AJ101">
        <f t="shared" si="22"/>
        <v>3000</v>
      </c>
      <c r="AK101">
        <f>IF('Input data'!$B$26="S",'Input data'!$B$22,3.1415*(('Input data'!$B$20*0.0005)-('Input data'!$B$28*A101))^2)</f>
        <v>7.8539816250000026E-3</v>
      </c>
    </row>
    <row r="102" spans="1:37" x14ac:dyDescent="0.2">
      <c r="A102" s="9">
        <f>A101+'Input data'!$B$24</f>
        <v>9.4999999999999822</v>
      </c>
      <c r="B102">
        <f>B101+(J101*'Input data'!$B$24)</f>
        <v>6.2317842439360582</v>
      </c>
      <c r="C102">
        <f>C101+(K101*'Input data'!$B$24)</f>
        <v>0</v>
      </c>
      <c r="D102">
        <f>D101+(L101*'Input data'!$B$24)</f>
        <v>-32.226288322413076</v>
      </c>
      <c r="E102">
        <f>IF('Input data'!$B$13=2,'Input data'!$B$25*((0.1036*LN(ABS(P101+1)))+0.8731),IF('Input data'!$B$13=3,'Input data'!$B$25*((0.139*LN(ABS(P101+1)))+0.7503),'Input data'!$B$25))</f>
        <v>5.63545970838834</v>
      </c>
      <c r="F102">
        <f>E102*COS(RADIANS('Input data'!$B$10))</f>
        <v>5.63545970838834</v>
      </c>
      <c r="G102">
        <f>E102*SIN(RADIANS('Input data'!$B$10))</f>
        <v>0</v>
      </c>
      <c r="H102">
        <f>1.22*EXP(-0.0001065*(P101+'Input data'!$B$12))</f>
        <v>1.206914051708454</v>
      </c>
      <c r="I102">
        <f t="shared" si="16"/>
        <v>32.231805130817506</v>
      </c>
      <c r="J102">
        <f>-0.5*H102*I102*AK102*'Input data'!$B$19*(B102-F102)/AF102</f>
        <v>-0.11289950866362443</v>
      </c>
      <c r="K102">
        <f>-0.5*H102*I102*AK102*'Input data'!$B$19*(C102-G102)/AF102</f>
        <v>0</v>
      </c>
      <c r="L102">
        <f>(-0.5*H102*AK102*I102*'Input data'!$B$19*D102/AF102)-'Input data'!$B$23</f>
        <v>-3.7037381857247205</v>
      </c>
      <c r="M102">
        <f>IF(AF102&gt;0,IF(P101&lt;=Param_1,M101,M101+(B103*'Input data'!$B$24)),M101)</f>
        <v>63.771821922597681</v>
      </c>
      <c r="N102">
        <f>IF(AF102&gt;0,IF(P101&lt;=Param_1,N101,N101+(C103*'Input data'!$B$24)),N101)</f>
        <v>0</v>
      </c>
      <c r="O102">
        <f t="shared" si="15"/>
        <v>0</v>
      </c>
      <c r="P102">
        <f>IF(P101&lt;=-100000,0,IF(AF102&gt;0,IF(P101&lt;Param_1,P101,P101+(D103*'Input data'!$B$24)),P101))</f>
        <v>97.999745620122454</v>
      </c>
      <c r="Q102">
        <f t="shared" si="17"/>
        <v>63.771821922597681</v>
      </c>
      <c r="T102">
        <f t="shared" si="18"/>
        <v>63.771821922597681</v>
      </c>
      <c r="U102">
        <f t="shared" si="19"/>
        <v>0</v>
      </c>
      <c r="V102" s="74">
        <f>IF(X102=0,'Input data'!$Q$22,Q102)</f>
        <v>63.771821922597681</v>
      </c>
      <c r="W102" s="74">
        <f>IF(U102=0,'Input data'!$Q$23,U102)</f>
        <v>0</v>
      </c>
      <c r="X102" s="74">
        <f t="shared" si="25"/>
        <v>97.999745620122454</v>
      </c>
      <c r="Y102">
        <f>IF(P101&lt;Param_1,Y101,A103*'Input data'!$B$25*SIN(RADIANS('Input data'!$B$10)))</f>
        <v>0</v>
      </c>
      <c r="Z102">
        <f>IF(P101&lt;Param_1,Z101,A103*'Input data'!$B$25*COS(RADIANS('Input data'!$B$10)))</f>
        <v>39.999999999999929</v>
      </c>
      <c r="AA102">
        <f t="shared" si="23"/>
        <v>9.5999999999999819</v>
      </c>
      <c r="AB102">
        <f t="shared" si="24"/>
        <v>5.1999999999999975</v>
      </c>
      <c r="AC102">
        <f>IF(ROUND(A102*10,3)='Input data'!$B$14*10,M102,0)</f>
        <v>0</v>
      </c>
      <c r="AD102">
        <f>IF(ROUND(A102*10,3)='Input data'!$B$14*10,N102,0)</f>
        <v>0</v>
      </c>
      <c r="AE102">
        <f>IF(ROUND(A102*10,3)='Input data'!$B$14*10,P102,0)</f>
        <v>0</v>
      </c>
      <c r="AF102">
        <f>IF('Input data'!$B$26="C",IF((3.14159265*1860/4)*((0.001*'Input data'!$B$20)-(2*'Input data'!$B$28*A102))^2*((0.33333*0.001*'Input data'!$B$20)-(2*'Input data'!$B$28*A102))&lt;0,(3.14159265*1860/4)*((0.001*'Input data'!$B$20)-(2*'Input data'!$B$28*A102))^2*((0.33333*0.001*'Input data'!$B$20)-(2*'Input data'!$B$28*A102)),(3.14159265*1860/4)*((0.001*'Input data'!$B$20)-(2*'Input data'!$B$28*A102))^2*((0.33333*0.001*'Input data'!$B$20)-(2*'Input data'!$B$28*A102))),'Input data'!$B$21)</f>
        <v>0.40680208090393727</v>
      </c>
      <c r="AG102">
        <f t="shared" si="20"/>
        <v>0</v>
      </c>
      <c r="AH102">
        <f t="shared" si="21"/>
        <v>0</v>
      </c>
      <c r="AI102">
        <f t="shared" si="26"/>
        <v>0</v>
      </c>
      <c r="AJ102">
        <f t="shared" si="22"/>
        <v>3000</v>
      </c>
      <c r="AK102">
        <f>IF('Input data'!$B$26="S",'Input data'!$B$22,3.1415*(('Input data'!$B$20*0.0005)-('Input data'!$B$28*A102))^2)</f>
        <v>7.8539816250000026E-3</v>
      </c>
    </row>
    <row r="103" spans="1:37" x14ac:dyDescent="0.2">
      <c r="A103" s="9">
        <f>A102+'Input data'!$B$24</f>
        <v>9.5999999999999819</v>
      </c>
      <c r="B103">
        <f>B102+(J102*'Input data'!$B$24)</f>
        <v>6.220494293069696</v>
      </c>
      <c r="C103">
        <f>C102+(K102*'Input data'!$B$24)</f>
        <v>0</v>
      </c>
      <c r="D103">
        <f>D102+(L102*'Input data'!$B$24)</f>
        <v>-32.596662140985551</v>
      </c>
      <c r="E103">
        <f>IF('Input data'!$B$13=2,'Input data'!$B$25*((0.1036*LN(ABS(P102+1)))+0.8731),IF('Input data'!$B$13=3,'Input data'!$B$25*((0.139*LN(ABS(P102+1)))+0.7503),'Input data'!$B$25))</f>
        <v>5.6214756261418879</v>
      </c>
      <c r="F103">
        <f>E103*COS(RADIANS('Input data'!$B$10))</f>
        <v>5.6214756261418879</v>
      </c>
      <c r="G103">
        <f>E103*SIN(RADIANS('Input data'!$B$10))</f>
        <v>0</v>
      </c>
      <c r="H103">
        <f>1.22*EXP(-0.0001065*(P102+'Input data'!$B$12))</f>
        <v>1.2073331100292186</v>
      </c>
      <c r="I103">
        <f t="shared" si="16"/>
        <v>32.602165665748167</v>
      </c>
      <c r="J103">
        <f>-0.5*H103*I103*AK103*'Input data'!$B$19*(B103-F103)/AF103</f>
        <v>-0.11475254286567341</v>
      </c>
      <c r="K103">
        <f>-0.5*H103*I103*AK103*'Input data'!$B$19*(C103-G103)/AF103</f>
        <v>0</v>
      </c>
      <c r="L103">
        <f>(-0.5*H103*AK103*I103*'Input data'!$B$19*D103/AF103)-'Input data'!$B$23</f>
        <v>-3.5605370539694432</v>
      </c>
      <c r="M103">
        <f>IF(AF103&gt;0,IF(P102&lt;=Param_1,M102,M102+(B104*'Input data'!$B$24)),M102)</f>
        <v>64.392723826476001</v>
      </c>
      <c r="N103">
        <f>IF(AF103&gt;0,IF(P102&lt;=Param_1,N102,N102+(C104*'Input data'!$B$24)),N102)</f>
        <v>0</v>
      </c>
      <c r="O103">
        <f t="shared" si="15"/>
        <v>0</v>
      </c>
      <c r="P103">
        <f>IF(P102&lt;=-100000,0,IF(AF103&gt;0,IF(P102&lt;Param_1,P102,P102+(D104*'Input data'!$B$24)),P102))</f>
        <v>94.704474035484211</v>
      </c>
      <c r="Q103">
        <f t="shared" si="17"/>
        <v>64.392723826476001</v>
      </c>
      <c r="T103">
        <f t="shared" si="18"/>
        <v>64.392723826476001</v>
      </c>
      <c r="U103">
        <f t="shared" si="19"/>
        <v>0</v>
      </c>
      <c r="V103" s="74">
        <f>IF(X103=0,'Input data'!$Q$22,Q103)</f>
        <v>64.392723826476001</v>
      </c>
      <c r="W103" s="74">
        <f>IF(U103=0,'Input data'!$Q$23,U103)</f>
        <v>0</v>
      </c>
      <c r="X103" s="74">
        <f t="shared" si="25"/>
        <v>94.704474035484211</v>
      </c>
      <c r="Y103">
        <f>IF(P102&lt;Param_1,Y102,A104*'Input data'!$B$25*SIN(RADIANS('Input data'!$B$10)))</f>
        <v>0</v>
      </c>
      <c r="Z103">
        <f>IF(P102&lt;Param_1,Z102,A104*'Input data'!$B$25*COS(RADIANS('Input data'!$B$10)))</f>
        <v>40.416666666666593</v>
      </c>
      <c r="AA103">
        <f t="shared" si="23"/>
        <v>9.6999999999999815</v>
      </c>
      <c r="AB103">
        <f t="shared" si="24"/>
        <v>5.1999999999999975</v>
      </c>
      <c r="AC103">
        <f>IF(ROUND(A103*10,3)='Input data'!$B$14*10,M103,0)</f>
        <v>0</v>
      </c>
      <c r="AD103">
        <f>IF(ROUND(A103*10,3)='Input data'!$B$14*10,N103,0)</f>
        <v>0</v>
      </c>
      <c r="AE103">
        <f>IF(ROUND(A103*10,3)='Input data'!$B$14*10,P103,0)</f>
        <v>0</v>
      </c>
      <c r="AF103">
        <f>IF('Input data'!$B$26="C",IF((3.14159265*1860/4)*((0.001*'Input data'!$B$20)-(2*'Input data'!$B$28*A103))^2*((0.33333*0.001*'Input data'!$B$20)-(2*'Input data'!$B$28*A103))&lt;0,(3.14159265*1860/4)*((0.001*'Input data'!$B$20)-(2*'Input data'!$B$28*A103))^2*((0.33333*0.001*'Input data'!$B$20)-(2*'Input data'!$B$28*A103)),(3.14159265*1860/4)*((0.001*'Input data'!$B$20)-(2*'Input data'!$B$28*A103))^2*((0.33333*0.001*'Input data'!$B$20)-(2*'Input data'!$B$28*A103))),'Input data'!$B$21)</f>
        <v>0.40680208090393727</v>
      </c>
      <c r="AG103">
        <f t="shared" si="20"/>
        <v>0</v>
      </c>
      <c r="AH103">
        <f t="shared" si="21"/>
        <v>0</v>
      </c>
      <c r="AI103">
        <f t="shared" si="26"/>
        <v>0</v>
      </c>
      <c r="AJ103">
        <f t="shared" si="22"/>
        <v>3000</v>
      </c>
      <c r="AK103">
        <f>IF('Input data'!$B$26="S",'Input data'!$B$22,3.1415*(('Input data'!$B$20*0.0005)-('Input data'!$B$28*A103))^2)</f>
        <v>7.8539816250000026E-3</v>
      </c>
    </row>
    <row r="104" spans="1:37" x14ac:dyDescent="0.2">
      <c r="A104" s="9">
        <f>A103+'Input data'!$B$24</f>
        <v>9.6999999999999815</v>
      </c>
      <c r="B104">
        <f>B103+(J103*'Input data'!$B$24)</f>
        <v>6.2090190387831283</v>
      </c>
      <c r="C104">
        <f>C103+(K103*'Input data'!$B$24)</f>
        <v>0</v>
      </c>
      <c r="D104">
        <f>D103+(L103*'Input data'!$B$24)</f>
        <v>-32.952715846382496</v>
      </c>
      <c r="E104">
        <f>IF('Input data'!$B$13=2,'Input data'!$B$25*((0.1036*LN(ABS(P103+1)))+0.8731),IF('Input data'!$B$13=3,'Input data'!$B$25*((0.139*LN(ABS(P103+1)))+0.7503),'Input data'!$B$25))</f>
        <v>5.6068627457192024</v>
      </c>
      <c r="F104">
        <f>E104*COS(RADIANS('Input data'!$B$10))</f>
        <v>5.6068627457192024</v>
      </c>
      <c r="G104">
        <f>E104*SIN(RADIANS('Input data'!$B$10))</f>
        <v>0</v>
      </c>
      <c r="H104">
        <f>1.22*EXP(-0.0001065*(P103+'Input data'!$B$12))</f>
        <v>1.2077568936247944</v>
      </c>
      <c r="I104">
        <f t="shared" si="16"/>
        <v>32.958217091549486</v>
      </c>
      <c r="J104">
        <f>-0.5*H104*I104*AK104*'Input data'!$B$19*(B104-F104)/AF104</f>
        <v>-0.11665433048754899</v>
      </c>
      <c r="K104">
        <f>-0.5*H104*I104*AK104*'Input data'!$B$19*(C104-G104)/AF104</f>
        <v>0</v>
      </c>
      <c r="L104">
        <f>(-0.5*H104*AK104*I104*'Input data'!$B$19*D104/AF104)-'Input data'!$B$23</f>
        <v>-3.4211474203872463</v>
      </c>
      <c r="M104">
        <f>IF(AF104&gt;0,IF(P103&lt;=Param_1,M103,M103+(B105*'Input data'!$B$24)),M103)</f>
        <v>65.012459187049444</v>
      </c>
      <c r="N104">
        <f>IF(AF104&gt;0,IF(P103&lt;=Param_1,N103,N103+(C105*'Input data'!$B$24)),N103)</f>
        <v>0</v>
      </c>
      <c r="O104">
        <f t="shared" si="15"/>
        <v>0</v>
      </c>
      <c r="P104">
        <f>IF(P103&lt;=-100000,0,IF(AF104&gt;0,IF(P103&lt;Param_1,P103,P103+(D105*'Input data'!$B$24)),P103))</f>
        <v>91.374990976642096</v>
      </c>
      <c r="Q104">
        <f t="shared" si="17"/>
        <v>65.012459187049444</v>
      </c>
      <c r="T104">
        <f t="shared" si="18"/>
        <v>65.012459187049444</v>
      </c>
      <c r="U104">
        <f t="shared" si="19"/>
        <v>0</v>
      </c>
      <c r="V104" s="74">
        <f>IF(X104=0,'Input data'!$Q$22,Q104)</f>
        <v>65.012459187049444</v>
      </c>
      <c r="W104" s="74">
        <f>IF(U104=0,'Input data'!$Q$23,U104)</f>
        <v>0</v>
      </c>
      <c r="X104" s="74">
        <f t="shared" si="25"/>
        <v>91.374990976642096</v>
      </c>
      <c r="Y104">
        <f>IF(P103&lt;Param_1,Y103,A105*'Input data'!$B$25*SIN(RADIANS('Input data'!$B$10)))</f>
        <v>0</v>
      </c>
      <c r="Z104">
        <f>IF(P103&lt;Param_1,Z103,A105*'Input data'!$B$25*COS(RADIANS('Input data'!$B$10)))</f>
        <v>40.833333333333258</v>
      </c>
      <c r="AA104">
        <f t="shared" si="23"/>
        <v>9.7999999999999812</v>
      </c>
      <c r="AB104">
        <f t="shared" si="24"/>
        <v>5.1999999999999975</v>
      </c>
      <c r="AC104">
        <f>IF(ROUND(A104*10,3)='Input data'!$B$14*10,M104,0)</f>
        <v>0</v>
      </c>
      <c r="AD104">
        <f>IF(ROUND(A104*10,3)='Input data'!$B$14*10,N104,0)</f>
        <v>0</v>
      </c>
      <c r="AE104">
        <f>IF(ROUND(A104*10,3)='Input data'!$B$14*10,P104,0)</f>
        <v>0</v>
      </c>
      <c r="AF104">
        <f>IF('Input data'!$B$26="C",IF((3.14159265*1860/4)*((0.001*'Input data'!$B$20)-(2*'Input data'!$B$28*A104))^2*((0.33333*0.001*'Input data'!$B$20)-(2*'Input data'!$B$28*A104))&lt;0,(3.14159265*1860/4)*((0.001*'Input data'!$B$20)-(2*'Input data'!$B$28*A104))^2*((0.33333*0.001*'Input data'!$B$20)-(2*'Input data'!$B$28*A104)),(3.14159265*1860/4)*((0.001*'Input data'!$B$20)-(2*'Input data'!$B$28*A104))^2*((0.33333*0.001*'Input data'!$B$20)-(2*'Input data'!$B$28*A104))),'Input data'!$B$21)</f>
        <v>0.40680208090393727</v>
      </c>
      <c r="AG104">
        <f t="shared" si="20"/>
        <v>0</v>
      </c>
      <c r="AH104">
        <f t="shared" si="21"/>
        <v>0</v>
      </c>
      <c r="AI104">
        <f t="shared" si="26"/>
        <v>0</v>
      </c>
      <c r="AJ104">
        <f t="shared" si="22"/>
        <v>3000</v>
      </c>
      <c r="AK104">
        <f>IF('Input data'!$B$26="S",'Input data'!$B$22,3.1415*(('Input data'!$B$20*0.0005)-('Input data'!$B$28*A104))^2)</f>
        <v>7.8539816250000026E-3</v>
      </c>
    </row>
    <row r="105" spans="1:37" x14ac:dyDescent="0.2">
      <c r="A105" s="9">
        <f>A104+'Input data'!$B$24</f>
        <v>9.7999999999999812</v>
      </c>
      <c r="B105">
        <f>B104+(J104*'Input data'!$B$24)</f>
        <v>6.1973536057343734</v>
      </c>
      <c r="C105">
        <f>C104+(K104*'Input data'!$B$24)</f>
        <v>0</v>
      </c>
      <c r="D105">
        <f>D104+(L104*'Input data'!$B$24)</f>
        <v>-33.29483058842122</v>
      </c>
      <c r="E105">
        <f>IF('Input data'!$B$13=2,'Input data'!$B$25*((0.1036*LN(ABS(P104+1)))+0.8731),IF('Input data'!$B$13=3,'Input data'!$B$25*((0.139*LN(ABS(P104+1)))+0.7503),'Input data'!$B$25))</f>
        <v>5.5915779615515255</v>
      </c>
      <c r="F105">
        <f>E105*COS(RADIANS('Input data'!$B$10))</f>
        <v>5.5915779615515255</v>
      </c>
      <c r="G105">
        <f>E105*SIN(RADIANS('Input data'!$B$10))</f>
        <v>0</v>
      </c>
      <c r="H105">
        <f>1.22*EXP(-0.0001065*(P104+'Input data'!$B$12))</f>
        <v>1.2081852280132499</v>
      </c>
      <c r="I105">
        <f t="shared" si="16"/>
        <v>33.300340959857373</v>
      </c>
      <c r="J105">
        <f>-0.5*H105*I105*AK105*'Input data'!$B$19*(B105-F105)/AF105</f>
        <v>-0.11861576407533714</v>
      </c>
      <c r="K105">
        <f>-0.5*H105*I105*AK105*'Input data'!$B$19*(C105-G105)/AF105</f>
        <v>0</v>
      </c>
      <c r="L105">
        <f>(-0.5*H105*AK105*I105*'Input data'!$B$19*D105/AF105)-'Input data'!$B$23</f>
        <v>-3.285603243248862</v>
      </c>
      <c r="M105">
        <f>IF(AF105&gt;0,IF(P104&lt;=Param_1,M104,M104+(B106*'Input data'!$B$24)),M104)</f>
        <v>65.631008389982128</v>
      </c>
      <c r="N105">
        <f>IF(AF105&gt;0,IF(P104&lt;=Param_1,N104,N104+(C106*'Input data'!$B$24)),N104)</f>
        <v>0</v>
      </c>
      <c r="O105">
        <f t="shared" si="15"/>
        <v>0</v>
      </c>
      <c r="P105">
        <f>IF(P104&lt;=-100000,0,IF(AF105&gt;0,IF(P104&lt;Param_1,P104,P104+(D106*'Input data'!$B$24)),P104))</f>
        <v>88.01265188536749</v>
      </c>
      <c r="Q105">
        <f t="shared" si="17"/>
        <v>65.631008389982128</v>
      </c>
      <c r="T105">
        <f t="shared" si="18"/>
        <v>65.631008389982128</v>
      </c>
      <c r="U105">
        <f t="shared" si="19"/>
        <v>0</v>
      </c>
      <c r="V105" s="74">
        <f>IF(X105=0,'Input data'!$Q$22,Q105)</f>
        <v>65.631008389982128</v>
      </c>
      <c r="W105" s="74">
        <f>IF(U105=0,'Input data'!$Q$23,U105)</f>
        <v>0</v>
      </c>
      <c r="X105" s="74">
        <f t="shared" si="25"/>
        <v>88.01265188536749</v>
      </c>
      <c r="Y105">
        <f>IF(P104&lt;Param_1,Y104,A106*'Input data'!$B$25*SIN(RADIANS('Input data'!$B$10)))</f>
        <v>0</v>
      </c>
      <c r="Z105">
        <f>IF(P104&lt;Param_1,Z104,A106*'Input data'!$B$25*COS(RADIANS('Input data'!$B$10)))</f>
        <v>41.249999999999922</v>
      </c>
      <c r="AA105">
        <f t="shared" si="23"/>
        <v>9.8999999999999808</v>
      </c>
      <c r="AB105">
        <f t="shared" si="24"/>
        <v>5.1999999999999975</v>
      </c>
      <c r="AC105">
        <f>IF(ROUND(A105*10,3)='Input data'!$B$14*10,M105,0)</f>
        <v>0</v>
      </c>
      <c r="AD105">
        <f>IF(ROUND(A105*10,3)='Input data'!$B$14*10,N105,0)</f>
        <v>0</v>
      </c>
      <c r="AE105">
        <f>IF(ROUND(A105*10,3)='Input data'!$B$14*10,P105,0)</f>
        <v>0</v>
      </c>
      <c r="AF105">
        <f>IF('Input data'!$B$26="C",IF((3.14159265*1860/4)*((0.001*'Input data'!$B$20)-(2*'Input data'!$B$28*A105))^2*((0.33333*0.001*'Input data'!$B$20)-(2*'Input data'!$B$28*A105))&lt;0,(3.14159265*1860/4)*((0.001*'Input data'!$B$20)-(2*'Input data'!$B$28*A105))^2*((0.33333*0.001*'Input data'!$B$20)-(2*'Input data'!$B$28*A105)),(3.14159265*1860/4)*((0.001*'Input data'!$B$20)-(2*'Input data'!$B$28*A105))^2*((0.33333*0.001*'Input data'!$B$20)-(2*'Input data'!$B$28*A105))),'Input data'!$B$21)</f>
        <v>0.40680208090393727</v>
      </c>
      <c r="AG105">
        <f t="shared" si="20"/>
        <v>0</v>
      </c>
      <c r="AH105">
        <f t="shared" si="21"/>
        <v>0</v>
      </c>
      <c r="AI105">
        <f t="shared" si="26"/>
        <v>0</v>
      </c>
      <c r="AJ105">
        <f t="shared" si="22"/>
        <v>3000</v>
      </c>
      <c r="AK105">
        <f>IF('Input data'!$B$26="S",'Input data'!$B$22,3.1415*(('Input data'!$B$20*0.0005)-('Input data'!$B$28*A105))^2)</f>
        <v>7.8539816250000026E-3</v>
      </c>
    </row>
    <row r="106" spans="1:37" x14ac:dyDescent="0.2">
      <c r="A106" s="9">
        <f>A105+'Input data'!$B$24</f>
        <v>9.8999999999999808</v>
      </c>
      <c r="B106">
        <f>B105+(J105*'Input data'!$B$24)</f>
        <v>6.1854920293268396</v>
      </c>
      <c r="C106">
        <f>C105+(K105*'Input data'!$B$24)</f>
        <v>0</v>
      </c>
      <c r="D106">
        <f>D105+(L105*'Input data'!$B$24)</f>
        <v>-33.623390912746103</v>
      </c>
      <c r="E106">
        <f>IF('Input data'!$B$13=2,'Input data'!$B$25*((0.1036*LN(ABS(P105+1)))+0.8731),IF('Input data'!$B$13=3,'Input data'!$B$25*((0.139*LN(ABS(P105+1)))+0.7503),'Input data'!$B$25))</f>
        <v>5.5755727259197885</v>
      </c>
      <c r="F106">
        <f>E106*COS(RADIANS('Input data'!$B$10))</f>
        <v>5.5755727259197885</v>
      </c>
      <c r="G106">
        <f>E106*SIN(RADIANS('Input data'!$B$10))</f>
        <v>0</v>
      </c>
      <c r="H106">
        <f>1.22*EXP(-0.0001065*(P105+'Input data'!$B$12))</f>
        <v>1.208617943460877</v>
      </c>
      <c r="I106">
        <f t="shared" si="16"/>
        <v>33.628922344137131</v>
      </c>
      <c r="J106">
        <f>-0.5*H106*I106*AK106*'Input data'!$B$19*(B106-F106)/AF106</f>
        <v>-0.12064873355427108</v>
      </c>
      <c r="K106">
        <f>-0.5*H106*I106*AK106*'Input data'!$B$19*(C106-G106)/AF106</f>
        <v>0</v>
      </c>
      <c r="L106">
        <f>(-0.5*H106*AK106*I106*'Input data'!$B$19*D106/AF106)-'Input data'!$B$23</f>
        <v>-3.1539241793751263</v>
      </c>
      <c r="M106">
        <f>IF(AF106&gt;0,IF(P105&lt;=Param_1,M105,M105+(B107*'Input data'!$B$24)),M105)</f>
        <v>66.248351105579275</v>
      </c>
      <c r="N106">
        <f>IF(AF106&gt;0,IF(P105&lt;=Param_1,N105,N105+(C107*'Input data'!$B$24)),N105)</f>
        <v>0</v>
      </c>
      <c r="O106">
        <f t="shared" si="15"/>
        <v>0</v>
      </c>
      <c r="P106">
        <f>IF(P105&lt;=-100000,0,IF(AF106&gt;0,IF(P105&lt;Param_1,P105,P105+(D107*'Input data'!$B$24)),P105))</f>
        <v>84.618773552299132</v>
      </c>
      <c r="Q106">
        <f t="shared" si="17"/>
        <v>66.248351105579275</v>
      </c>
      <c r="T106">
        <f t="shared" si="18"/>
        <v>66.248351105579275</v>
      </c>
      <c r="U106">
        <f t="shared" si="19"/>
        <v>0</v>
      </c>
      <c r="V106" s="74">
        <f>IF(X106=0,'Input data'!$Q$22,Q106)</f>
        <v>66.248351105579275</v>
      </c>
      <c r="W106" s="74">
        <f>IF(U106=0,'Input data'!$Q$23,U106)</f>
        <v>0</v>
      </c>
      <c r="X106" s="74">
        <f t="shared" si="25"/>
        <v>84.618773552299132</v>
      </c>
      <c r="Y106">
        <f>IF(P105&lt;Param_1,Y105,A107*'Input data'!$B$25*SIN(RADIANS('Input data'!$B$10)))</f>
        <v>0</v>
      </c>
      <c r="Z106">
        <f>IF(P105&lt;Param_1,Z105,A107*'Input data'!$B$25*COS(RADIANS('Input data'!$B$10)))</f>
        <v>41.666666666666586</v>
      </c>
      <c r="AA106">
        <f t="shared" si="23"/>
        <v>9.9999999999999805</v>
      </c>
      <c r="AB106">
        <f t="shared" si="24"/>
        <v>5.1999999999999975</v>
      </c>
      <c r="AC106">
        <f>IF(ROUND(A106*10,3)='Input data'!$B$14*10,M106,0)</f>
        <v>0</v>
      </c>
      <c r="AD106">
        <f>IF(ROUND(A106*10,3)='Input data'!$B$14*10,N106,0)</f>
        <v>0</v>
      </c>
      <c r="AE106">
        <f>IF(ROUND(A106*10,3)='Input data'!$B$14*10,P106,0)</f>
        <v>0</v>
      </c>
      <c r="AF106">
        <f>IF('Input data'!$B$26="C",IF((3.14159265*1860/4)*((0.001*'Input data'!$B$20)-(2*'Input data'!$B$28*A106))^2*((0.33333*0.001*'Input data'!$B$20)-(2*'Input data'!$B$28*A106))&lt;0,(3.14159265*1860/4)*((0.001*'Input data'!$B$20)-(2*'Input data'!$B$28*A106))^2*((0.33333*0.001*'Input data'!$B$20)-(2*'Input data'!$B$28*A106)),(3.14159265*1860/4)*((0.001*'Input data'!$B$20)-(2*'Input data'!$B$28*A106))^2*((0.33333*0.001*'Input data'!$B$20)-(2*'Input data'!$B$28*A106))),'Input data'!$B$21)</f>
        <v>0.40680208090393727</v>
      </c>
      <c r="AG106">
        <f t="shared" si="20"/>
        <v>0</v>
      </c>
      <c r="AH106">
        <f t="shared" si="21"/>
        <v>0</v>
      </c>
      <c r="AI106">
        <f t="shared" si="26"/>
        <v>0</v>
      </c>
      <c r="AJ106">
        <f t="shared" si="22"/>
        <v>3000</v>
      </c>
      <c r="AK106">
        <f>IF('Input data'!$B$26="S",'Input data'!$B$22,3.1415*(('Input data'!$B$20*0.0005)-('Input data'!$B$28*A106))^2)</f>
        <v>7.8539816250000026E-3</v>
      </c>
    </row>
    <row r="107" spans="1:37" x14ac:dyDescent="0.2">
      <c r="A107" s="9">
        <f>A106+'Input data'!$B$24</f>
        <v>9.9999999999999805</v>
      </c>
      <c r="B107">
        <f>B106+(J106*'Input data'!$B$24)</f>
        <v>6.1734271559714129</v>
      </c>
      <c r="C107">
        <f>C106+(K106*'Input data'!$B$24)</f>
        <v>0</v>
      </c>
      <c r="D107">
        <f>D106+(L106*'Input data'!$B$24)</f>
        <v>-33.938783330683613</v>
      </c>
      <c r="E107">
        <f>IF('Input data'!$B$13=2,'Input data'!$B$25*((0.1036*LN(ABS(P106+1)))+0.8731),IF('Input data'!$B$13=3,'Input data'!$B$25*((0.139*LN(ABS(P106+1)))+0.7503),'Input data'!$B$25))</f>
        <v>5.5587921421032442</v>
      </c>
      <c r="F107">
        <f>E107*COS(RADIANS('Input data'!$B$10))</f>
        <v>5.5587921421032442</v>
      </c>
      <c r="G107">
        <f>E107*SIN(RADIANS('Input data'!$B$10))</f>
        <v>0</v>
      </c>
      <c r="H107">
        <f>1.22*EXP(-0.0001065*(P106+'Input data'!$B$12))</f>
        <v>1.209054875009907</v>
      </c>
      <c r="I107">
        <f t="shared" si="16"/>
        <v>33.94434842749763</v>
      </c>
      <c r="J107">
        <f>-0.5*H107*I107*AK107*'Input data'!$B$19*(B107-F107)/AF107</f>
        <v>-0.12276630568515258</v>
      </c>
      <c r="K107">
        <f>-0.5*H107*I107*AK107*'Input data'!$B$19*(C107-G107)/AF107</f>
        <v>0</v>
      </c>
      <c r="L107">
        <f>(-0.5*H107*AK107*I107*'Input data'!$B$19*D107/AF107)-'Input data'!$B$23</f>
        <v>-3.0261166709572871</v>
      </c>
      <c r="M107">
        <f>IF(AF107&gt;0,IF(P106&lt;=Param_1,M106,M106+(B108*'Input data'!$B$24)),M106)</f>
        <v>66.864466158119569</v>
      </c>
      <c r="N107">
        <f>IF(AF107&gt;0,IF(P106&lt;=Param_1,N106,N106+(C108*'Input data'!$B$24)),N106)</f>
        <v>0</v>
      </c>
      <c r="O107">
        <f t="shared" si="15"/>
        <v>0</v>
      </c>
      <c r="P107">
        <f>IF(P106&lt;=-100000,0,IF(AF107&gt;0,IF(P106&lt;Param_1,P106,P106+(D108*'Input data'!$B$24)),P106))</f>
        <v>81.194634052521195</v>
      </c>
      <c r="Q107">
        <f t="shared" si="17"/>
        <v>66.864466158119569</v>
      </c>
      <c r="T107">
        <f t="shared" si="18"/>
        <v>66.864466158119569</v>
      </c>
      <c r="U107">
        <f t="shared" si="19"/>
        <v>0</v>
      </c>
      <c r="V107" s="74">
        <f>IF(X107=0,'Input data'!$Q$22,Q107)</f>
        <v>66.864466158119569</v>
      </c>
      <c r="W107" s="74">
        <f>IF(U107=0,'Input data'!$Q$23,U107)</f>
        <v>0</v>
      </c>
      <c r="X107" s="74">
        <f t="shared" si="25"/>
        <v>81.194634052521195</v>
      </c>
      <c r="Y107">
        <f>IF(P106&lt;Param_1,Y106,A108*'Input data'!$B$25*SIN(RADIANS('Input data'!$B$10)))</f>
        <v>0</v>
      </c>
      <c r="Z107">
        <f>IF(P106&lt;Param_1,Z106,A108*'Input data'!$B$25*COS(RADIANS('Input data'!$B$10)))</f>
        <v>42.08333333333325</v>
      </c>
      <c r="AA107">
        <f t="shared" si="23"/>
        <v>10.09999999999998</v>
      </c>
      <c r="AB107">
        <f t="shared" si="24"/>
        <v>5.1999999999999975</v>
      </c>
      <c r="AC107">
        <f>IF(ROUND(A107*10,3)='Input data'!$B$14*10,M107,0)</f>
        <v>0</v>
      </c>
      <c r="AD107">
        <f>IF(ROUND(A107*10,3)='Input data'!$B$14*10,N107,0)</f>
        <v>0</v>
      </c>
      <c r="AE107">
        <f>IF(ROUND(A107*10,3)='Input data'!$B$14*10,P107,0)</f>
        <v>0</v>
      </c>
      <c r="AF107">
        <f>IF('Input data'!$B$26="C",IF((3.14159265*1860/4)*((0.001*'Input data'!$B$20)-(2*'Input data'!$B$28*A107))^2*((0.33333*0.001*'Input data'!$B$20)-(2*'Input data'!$B$28*A107))&lt;0,(3.14159265*1860/4)*((0.001*'Input data'!$B$20)-(2*'Input data'!$B$28*A107))^2*((0.33333*0.001*'Input data'!$B$20)-(2*'Input data'!$B$28*A107)),(3.14159265*1860/4)*((0.001*'Input data'!$B$20)-(2*'Input data'!$B$28*A107))^2*((0.33333*0.001*'Input data'!$B$20)-(2*'Input data'!$B$28*A107))),'Input data'!$B$21)</f>
        <v>0.40680208090393727</v>
      </c>
      <c r="AG107">
        <f t="shared" si="20"/>
        <v>0</v>
      </c>
      <c r="AH107">
        <f t="shared" si="21"/>
        <v>0</v>
      </c>
      <c r="AI107">
        <f t="shared" si="26"/>
        <v>0</v>
      </c>
      <c r="AJ107">
        <f t="shared" si="22"/>
        <v>3000</v>
      </c>
      <c r="AK107">
        <f>IF('Input data'!$B$26="S",'Input data'!$B$22,3.1415*(('Input data'!$B$20*0.0005)-('Input data'!$B$28*A107))^2)</f>
        <v>7.8539816250000026E-3</v>
      </c>
    </row>
    <row r="108" spans="1:37" x14ac:dyDescent="0.2">
      <c r="A108" s="9">
        <f>A107+'Input data'!$B$24</f>
        <v>10.09999999999998</v>
      </c>
      <c r="B108">
        <f>B107+(J107*'Input data'!$B$24)</f>
        <v>6.1611505254028973</v>
      </c>
      <c r="C108">
        <f>C107+(K107*'Input data'!$B$24)</f>
        <v>0</v>
      </c>
      <c r="D108">
        <f>D107+(L107*'Input data'!$B$24)</f>
        <v>-34.241394997779345</v>
      </c>
      <c r="E108">
        <f>IF('Input data'!$B$13=2,'Input data'!$B$25*((0.1036*LN(ABS(P107+1)))+0.8731),IF('Input data'!$B$13=3,'Input data'!$B$25*((0.139*LN(ABS(P107+1)))+0.7503),'Input data'!$B$25))</f>
        <v>5.5411738589635364</v>
      </c>
      <c r="F108">
        <f>E108*COS(RADIANS('Input data'!$B$10))</f>
        <v>5.5411738589635364</v>
      </c>
      <c r="G108">
        <f>E108*SIN(RADIANS('Input data'!$B$10))</f>
        <v>0</v>
      </c>
      <c r="H108">
        <f>1.22*EXP(-0.0001065*(P107+'Input data'!$B$12))</f>
        <v>1.20949586248976</v>
      </c>
      <c r="I108">
        <f t="shared" si="16"/>
        <v>34.247007204438724</v>
      </c>
      <c r="J108">
        <f>-0.5*H108*I108*AK108*'Input data'!$B$19*(B108-F108)/AF108</f>
        <v>-0.12498294611740765</v>
      </c>
      <c r="K108">
        <f>-0.5*H108*I108*AK108*'Input data'!$B$19*(C108-G108)/AF108</f>
        <v>0</v>
      </c>
      <c r="L108">
        <f>(-0.5*H108*AK108*I108*'Input data'!$B$19*D108/AF108)-'Input data'!$B$23</f>
        <v>-2.9021750105196737</v>
      </c>
      <c r="M108">
        <f>IF(AF108&gt;0,IF(P107&lt;=Param_1,M107,M107+(B109*'Input data'!$B$24)),M107)</f>
        <v>67.479331381198691</v>
      </c>
      <c r="N108">
        <f>IF(AF108&gt;0,IF(P107&lt;=Param_1,N107,N107+(C109*'Input data'!$B$24)),N107)</f>
        <v>0</v>
      </c>
      <c r="O108">
        <f t="shared" si="15"/>
        <v>0</v>
      </c>
      <c r="P108">
        <f>IF(P107&lt;=-100000,0,IF(AF108&gt;0,IF(P107&lt;Param_1,P107,P107+(D109*'Input data'!$B$24)),P107))</f>
        <v>77.741472802638057</v>
      </c>
      <c r="Q108">
        <f t="shared" si="17"/>
        <v>67.479331381198691</v>
      </c>
      <c r="T108">
        <f t="shared" si="18"/>
        <v>67.479331381198691</v>
      </c>
      <c r="U108">
        <f t="shared" si="19"/>
        <v>0</v>
      </c>
      <c r="V108" s="74">
        <f>IF(X108=0,'Input data'!$Q$22,Q108)</f>
        <v>67.479331381198691</v>
      </c>
      <c r="W108" s="74">
        <f>IF(U108=0,'Input data'!$Q$23,U108)</f>
        <v>0</v>
      </c>
      <c r="X108" s="74">
        <f t="shared" si="25"/>
        <v>77.741472802638057</v>
      </c>
      <c r="Y108">
        <f>IF(P107&lt;Param_1,Y107,A109*'Input data'!$B$25*SIN(RADIANS('Input data'!$B$10)))</f>
        <v>0</v>
      </c>
      <c r="Z108">
        <f>IF(P107&lt;Param_1,Z107,A109*'Input data'!$B$25*COS(RADIANS('Input data'!$B$10)))</f>
        <v>42.499999999999922</v>
      </c>
      <c r="AA108">
        <f t="shared" si="23"/>
        <v>10.19999999999998</v>
      </c>
      <c r="AB108">
        <f t="shared" si="24"/>
        <v>5.1999999999999975</v>
      </c>
      <c r="AC108">
        <f>IF(ROUND(A108*10,3)='Input data'!$B$14*10,M108,0)</f>
        <v>0</v>
      </c>
      <c r="AD108">
        <f>IF(ROUND(A108*10,3)='Input data'!$B$14*10,N108,0)</f>
        <v>0</v>
      </c>
      <c r="AE108">
        <f>IF(ROUND(A108*10,3)='Input data'!$B$14*10,P108,0)</f>
        <v>0</v>
      </c>
      <c r="AF108">
        <f>IF('Input data'!$B$26="C",IF((3.14159265*1860/4)*((0.001*'Input data'!$B$20)-(2*'Input data'!$B$28*A108))^2*((0.33333*0.001*'Input data'!$B$20)-(2*'Input data'!$B$28*A108))&lt;0,(3.14159265*1860/4)*((0.001*'Input data'!$B$20)-(2*'Input data'!$B$28*A108))^2*((0.33333*0.001*'Input data'!$B$20)-(2*'Input data'!$B$28*A108)),(3.14159265*1860/4)*((0.001*'Input data'!$B$20)-(2*'Input data'!$B$28*A108))^2*((0.33333*0.001*'Input data'!$B$20)-(2*'Input data'!$B$28*A108))),'Input data'!$B$21)</f>
        <v>0.40680208090393727</v>
      </c>
      <c r="AG108">
        <f t="shared" si="20"/>
        <v>0</v>
      </c>
      <c r="AH108">
        <f t="shared" si="21"/>
        <v>0</v>
      </c>
      <c r="AI108">
        <f t="shared" si="26"/>
        <v>0</v>
      </c>
      <c r="AJ108">
        <f t="shared" si="22"/>
        <v>3000</v>
      </c>
      <c r="AK108">
        <f>IF('Input data'!$B$26="S",'Input data'!$B$22,3.1415*(('Input data'!$B$20*0.0005)-('Input data'!$B$28*A108))^2)</f>
        <v>7.8539816250000026E-3</v>
      </c>
    </row>
    <row r="109" spans="1:37" x14ac:dyDescent="0.2">
      <c r="A109" s="9">
        <f>A108+'Input data'!$B$24</f>
        <v>10.19999999999998</v>
      </c>
      <c r="B109">
        <f>B108+(J108*'Input data'!$B$24)</f>
        <v>6.1486522307911562</v>
      </c>
      <c r="C109">
        <f>C108+(K108*'Input data'!$B$24)</f>
        <v>0</v>
      </c>
      <c r="D109">
        <f>D108+(L108*'Input data'!$B$24)</f>
        <v>-34.531612498831315</v>
      </c>
      <c r="E109">
        <f>IF('Input data'!$B$13=2,'Input data'!$B$25*((0.1036*LN(ABS(P108+1)))+0.8731),IF('Input data'!$B$13=3,'Input data'!$B$25*((0.139*LN(ABS(P108+1)))+0.7503),'Input data'!$B$25))</f>
        <v>5.5226467123377292</v>
      </c>
      <c r="F109">
        <f>E109*COS(RADIANS('Input data'!$B$10))</f>
        <v>5.5226467123377292</v>
      </c>
      <c r="G109">
        <f>E109*SIN(RADIANS('Input data'!$B$10))</f>
        <v>0</v>
      </c>
      <c r="H109">
        <f>1.22*EXP(-0.0001065*(P108+'Input data'!$B$12))</f>
        <v>1.2099407505131397</v>
      </c>
      <c r="I109">
        <f t="shared" si="16"/>
        <v>34.537286295807569</v>
      </c>
      <c r="J109">
        <f>-0.5*H109*I109*AK109*'Input data'!$B$19*(B109-F109)/AF109</f>
        <v>-0.12731479561530701</v>
      </c>
      <c r="K109">
        <f>-0.5*H109*I109*AK109*'Input data'!$B$19*(C109-G109)/AF109</f>
        <v>0</v>
      </c>
      <c r="L109">
        <f>(-0.5*H109*AK109*I109*'Input data'!$B$19*D109/AF109)-'Input data'!$B$23</f>
        <v>-2.7820823771375931</v>
      </c>
      <c r="M109">
        <f>IF(AF109&gt;0,IF(P108&lt;=Param_1,M108,M108+(B110*'Input data'!$B$24)),M108)</f>
        <v>68.092923456321657</v>
      </c>
      <c r="N109">
        <f>IF(AF109&gt;0,IF(P108&lt;=Param_1,N108,N108+(C110*'Input data'!$B$24)),N108)</f>
        <v>0</v>
      </c>
      <c r="O109">
        <f t="shared" si="15"/>
        <v>0</v>
      </c>
      <c r="P109">
        <f>IF(P108&lt;=-100000,0,IF(AF109&gt;0,IF(P108&lt;Param_1,P108,P108+(D110*'Input data'!$B$24)),P108))</f>
        <v>74.260490728983555</v>
      </c>
      <c r="Q109">
        <f t="shared" si="17"/>
        <v>68.092923456321657</v>
      </c>
      <c r="T109">
        <f t="shared" si="18"/>
        <v>68.092923456321657</v>
      </c>
      <c r="U109">
        <f t="shared" si="19"/>
        <v>0</v>
      </c>
      <c r="V109" s="74">
        <f>IF(X109=0,'Input data'!$Q$22,Q109)</f>
        <v>68.092923456321657</v>
      </c>
      <c r="W109" s="74">
        <f>IF(U109=0,'Input data'!$Q$23,U109)</f>
        <v>0</v>
      </c>
      <c r="X109" s="74">
        <f t="shared" si="25"/>
        <v>74.260490728983555</v>
      </c>
      <c r="Y109">
        <f>IF(P108&lt;Param_1,Y108,A110*'Input data'!$B$25*SIN(RADIANS('Input data'!$B$10)))</f>
        <v>0</v>
      </c>
      <c r="Z109">
        <f>IF(P108&lt;Param_1,Z108,A110*'Input data'!$B$25*COS(RADIANS('Input data'!$B$10)))</f>
        <v>42.916666666666586</v>
      </c>
      <c r="AA109">
        <f t="shared" si="23"/>
        <v>10.299999999999979</v>
      </c>
      <c r="AB109">
        <f t="shared" si="24"/>
        <v>5.1999999999999975</v>
      </c>
      <c r="AC109">
        <f>IF(ROUND(A109*10,3)='Input data'!$B$14*10,M109,0)</f>
        <v>0</v>
      </c>
      <c r="AD109">
        <f>IF(ROUND(A109*10,3)='Input data'!$B$14*10,N109,0)</f>
        <v>0</v>
      </c>
      <c r="AE109">
        <f>IF(ROUND(A109*10,3)='Input data'!$B$14*10,P109,0)</f>
        <v>0</v>
      </c>
      <c r="AF109">
        <f>IF('Input data'!$B$26="C",IF((3.14159265*1860/4)*((0.001*'Input data'!$B$20)-(2*'Input data'!$B$28*A109))^2*((0.33333*0.001*'Input data'!$B$20)-(2*'Input data'!$B$28*A109))&lt;0,(3.14159265*1860/4)*((0.001*'Input data'!$B$20)-(2*'Input data'!$B$28*A109))^2*((0.33333*0.001*'Input data'!$B$20)-(2*'Input data'!$B$28*A109)),(3.14159265*1860/4)*((0.001*'Input data'!$B$20)-(2*'Input data'!$B$28*A109))^2*((0.33333*0.001*'Input data'!$B$20)-(2*'Input data'!$B$28*A109))),'Input data'!$B$21)</f>
        <v>0.40680208090393727</v>
      </c>
      <c r="AG109">
        <f t="shared" si="20"/>
        <v>0</v>
      </c>
      <c r="AH109">
        <f t="shared" si="21"/>
        <v>0</v>
      </c>
      <c r="AI109">
        <f t="shared" si="26"/>
        <v>0</v>
      </c>
      <c r="AJ109">
        <f t="shared" si="22"/>
        <v>3000</v>
      </c>
      <c r="AK109">
        <f>IF('Input data'!$B$26="S",'Input data'!$B$22,3.1415*(('Input data'!$B$20*0.0005)-('Input data'!$B$28*A109))^2)</f>
        <v>7.8539816250000026E-3</v>
      </c>
    </row>
    <row r="110" spans="1:37" x14ac:dyDescent="0.2">
      <c r="A110" s="9">
        <f>A109+'Input data'!$B$24</f>
        <v>10.299999999999979</v>
      </c>
      <c r="B110">
        <f>B109+(J109*'Input data'!$B$24)</f>
        <v>6.1359207512296257</v>
      </c>
      <c r="C110">
        <f>C109+(K109*'Input data'!$B$24)</f>
        <v>0</v>
      </c>
      <c r="D110">
        <f>D109+(L109*'Input data'!$B$24)</f>
        <v>-34.809820736545078</v>
      </c>
      <c r="E110">
        <f>IF('Input data'!$B$13=2,'Input data'!$B$25*((0.1036*LN(ABS(P109+1)))+0.8731),IF('Input data'!$B$13=3,'Input data'!$B$25*((0.139*LN(ABS(P109+1)))+0.7503),'Input data'!$B$25))</f>
        <v>5.5031290402476127</v>
      </c>
      <c r="F110">
        <f>E110*COS(RADIANS('Input data'!$B$10))</f>
        <v>5.5031290402476127</v>
      </c>
      <c r="G110">
        <f>E110*SIN(RADIANS('Input data'!$B$10))</f>
        <v>0</v>
      </c>
      <c r="H110">
        <f>1.22*EXP(-0.0001065*(P109+'Input data'!$B$12))</f>
        <v>1.2103893884582404</v>
      </c>
      <c r="I110">
        <f t="shared" si="16"/>
        <v>34.815571876100087</v>
      </c>
      <c r="J110">
        <f>-0.5*H110*I110*AK110*'Input data'!$B$19*(B110-F110)/AF110</f>
        <v>-0.12978001599742059</v>
      </c>
      <c r="K110">
        <f>-0.5*H110*I110*AK110*'Input data'!$B$19*(C110-G110)/AF110</f>
        <v>0</v>
      </c>
      <c r="L110">
        <f>(-0.5*H110*AK110*I110*'Input data'!$B$19*D110/AF110)-'Input data'!$B$23</f>
        <v>-2.665811837997393</v>
      </c>
      <c r="M110">
        <f>IF(AF110&gt;0,IF(P109&lt;=Param_1,M109,M109+(B111*'Input data'!$B$24)),M109)</f>
        <v>68.705217731284648</v>
      </c>
      <c r="N110">
        <f>IF(AF110&gt;0,IF(P109&lt;=Param_1,N109,N109+(C111*'Input data'!$B$24)),N109)</f>
        <v>0</v>
      </c>
      <c r="O110">
        <f t="shared" si="15"/>
        <v>0</v>
      </c>
      <c r="P110">
        <f>IF(P109&lt;=-100000,0,IF(AF110&gt;0,IF(P109&lt;Param_1,P109,P109+(D111*'Input data'!$B$24)),P109))</f>
        <v>70.752850536949069</v>
      </c>
      <c r="Q110">
        <f t="shared" si="17"/>
        <v>68.705217731284648</v>
      </c>
      <c r="T110">
        <f t="shared" si="18"/>
        <v>68.705217731284648</v>
      </c>
      <c r="U110">
        <f t="shared" si="19"/>
        <v>0</v>
      </c>
      <c r="V110" s="74">
        <f>IF(X110=0,'Input data'!$Q$22,Q110)</f>
        <v>68.705217731284648</v>
      </c>
      <c r="W110" s="74">
        <f>IF(U110=0,'Input data'!$Q$23,U110)</f>
        <v>0</v>
      </c>
      <c r="X110" s="74">
        <f t="shared" si="25"/>
        <v>70.752850536949069</v>
      </c>
      <c r="Y110">
        <f>IF(P109&lt;Param_1,Y109,A111*'Input data'!$B$25*SIN(RADIANS('Input data'!$B$10)))</f>
        <v>0</v>
      </c>
      <c r="Z110">
        <f>IF(P109&lt;Param_1,Z109,A111*'Input data'!$B$25*COS(RADIANS('Input data'!$B$10)))</f>
        <v>43.33333333333325</v>
      </c>
      <c r="AA110">
        <f t="shared" si="23"/>
        <v>10.399999999999979</v>
      </c>
      <c r="AB110">
        <f t="shared" si="24"/>
        <v>5.1999999999999975</v>
      </c>
      <c r="AC110">
        <f>IF(ROUND(A110*10,3)='Input data'!$B$14*10,M110,0)</f>
        <v>0</v>
      </c>
      <c r="AD110">
        <f>IF(ROUND(A110*10,3)='Input data'!$B$14*10,N110,0)</f>
        <v>0</v>
      </c>
      <c r="AE110">
        <f>IF(ROUND(A110*10,3)='Input data'!$B$14*10,P110,0)</f>
        <v>0</v>
      </c>
      <c r="AF110">
        <f>IF('Input data'!$B$26="C",IF((3.14159265*1860/4)*((0.001*'Input data'!$B$20)-(2*'Input data'!$B$28*A110))^2*((0.33333*0.001*'Input data'!$B$20)-(2*'Input data'!$B$28*A110))&lt;0,(3.14159265*1860/4)*((0.001*'Input data'!$B$20)-(2*'Input data'!$B$28*A110))^2*((0.33333*0.001*'Input data'!$B$20)-(2*'Input data'!$B$28*A110)),(3.14159265*1860/4)*((0.001*'Input data'!$B$20)-(2*'Input data'!$B$28*A110))^2*((0.33333*0.001*'Input data'!$B$20)-(2*'Input data'!$B$28*A110))),'Input data'!$B$21)</f>
        <v>0.40680208090393727</v>
      </c>
      <c r="AG110">
        <f t="shared" si="20"/>
        <v>0</v>
      </c>
      <c r="AH110">
        <f t="shared" si="21"/>
        <v>0</v>
      </c>
      <c r="AI110">
        <f t="shared" si="26"/>
        <v>0</v>
      </c>
      <c r="AJ110">
        <f t="shared" si="22"/>
        <v>3000</v>
      </c>
      <c r="AK110">
        <f>IF('Input data'!$B$26="S",'Input data'!$B$22,3.1415*(('Input data'!$B$20*0.0005)-('Input data'!$B$28*A110))^2)</f>
        <v>7.8539816250000026E-3</v>
      </c>
    </row>
    <row r="111" spans="1:37" x14ac:dyDescent="0.2">
      <c r="A111" s="9">
        <f>A110+'Input data'!$B$24</f>
        <v>10.399999999999979</v>
      </c>
      <c r="B111">
        <f>B110+(J110*'Input data'!$B$24)</f>
        <v>6.1229427496298836</v>
      </c>
      <c r="C111">
        <f>C110+(K110*'Input data'!$B$24)</f>
        <v>0</v>
      </c>
      <c r="D111">
        <f>D110+(L110*'Input data'!$B$24)</f>
        <v>-35.076401920344814</v>
      </c>
      <c r="E111">
        <f>IF('Input data'!$B$13=2,'Input data'!$B$25*((0.1036*LN(ABS(P110+1)))+0.8731),IF('Input data'!$B$13=3,'Input data'!$B$25*((0.139*LN(ABS(P110+1)))+0.7503),'Input data'!$B$25))</f>
        <v>5.4825265731507171</v>
      </c>
      <c r="F111">
        <f>E111*COS(RADIANS('Input data'!$B$10))</f>
        <v>5.4825265731507171</v>
      </c>
      <c r="G111">
        <f>E111*SIN(RADIANS('Input data'!$B$10))</f>
        <v>0</v>
      </c>
      <c r="H111">
        <f>1.22*EXP(-0.0001065*(P110+'Input data'!$B$12))</f>
        <v>1.2108416304383025</v>
      </c>
      <c r="I111">
        <f t="shared" si="16"/>
        <v>35.082247712435212</v>
      </c>
      <c r="J111">
        <f>-0.5*H111*I111*AK111*'Input data'!$B$19*(B111-F111)/AF111</f>
        <v>-0.13239922691052028</v>
      </c>
      <c r="K111">
        <f>-0.5*H111*I111*AK111*'Input data'!$B$19*(C111-G111)/AF111</f>
        <v>0</v>
      </c>
      <c r="L111">
        <f>(-0.5*H111*AK111*I111*'Input data'!$B$19*D111/AF111)-'Input data'!$B$23</f>
        <v>-2.5533273102371101</v>
      </c>
      <c r="M111">
        <f>IF(AF111&gt;0,IF(P110&lt;=Param_1,M110,M110+(B112*'Input data'!$B$24)),M110)</f>
        <v>69.316188013978532</v>
      </c>
      <c r="N111">
        <f>IF(AF111&gt;0,IF(P110&lt;=Param_1,N110,N110+(C112*'Input data'!$B$24)),N110)</f>
        <v>0</v>
      </c>
      <c r="O111">
        <f t="shared" si="15"/>
        <v>0</v>
      </c>
      <c r="P111">
        <f>IF(P110&lt;=-100000,0,IF(AF111&gt;0,IF(P110&lt;Param_1,P110,P110+(D112*'Input data'!$B$24)),P110))</f>
        <v>67.219677071812214</v>
      </c>
      <c r="Q111">
        <f t="shared" si="17"/>
        <v>69.316188013978532</v>
      </c>
      <c r="T111">
        <f t="shared" si="18"/>
        <v>69.316188013978532</v>
      </c>
      <c r="U111">
        <f t="shared" si="19"/>
        <v>0</v>
      </c>
      <c r="V111" s="74">
        <f>IF(X111=0,'Input data'!$Q$22,Q111)</f>
        <v>69.316188013978532</v>
      </c>
      <c r="W111" s="74">
        <f>IF(U111=0,'Input data'!$Q$23,U111)</f>
        <v>0</v>
      </c>
      <c r="X111" s="74">
        <f t="shared" si="25"/>
        <v>67.219677071812214</v>
      </c>
      <c r="Y111">
        <f>IF(P110&lt;Param_1,Y110,A112*'Input data'!$B$25*SIN(RADIANS('Input data'!$B$10)))</f>
        <v>0</v>
      </c>
      <c r="Z111">
        <f>IF(P110&lt;Param_1,Z110,A112*'Input data'!$B$25*COS(RADIANS('Input data'!$B$10)))</f>
        <v>43.749999999999915</v>
      </c>
      <c r="AA111">
        <f t="shared" si="23"/>
        <v>10.499999999999979</v>
      </c>
      <c r="AB111">
        <f t="shared" si="24"/>
        <v>5.1999999999999975</v>
      </c>
      <c r="AC111">
        <f>IF(ROUND(A111*10,3)='Input data'!$B$14*10,M111,0)</f>
        <v>0</v>
      </c>
      <c r="AD111">
        <f>IF(ROUND(A111*10,3)='Input data'!$B$14*10,N111,0)</f>
        <v>0</v>
      </c>
      <c r="AE111">
        <f>IF(ROUND(A111*10,3)='Input data'!$B$14*10,P111,0)</f>
        <v>0</v>
      </c>
      <c r="AF111">
        <f>IF('Input data'!$B$26="C",IF((3.14159265*1860/4)*((0.001*'Input data'!$B$20)-(2*'Input data'!$B$28*A111))^2*((0.33333*0.001*'Input data'!$B$20)-(2*'Input data'!$B$28*A111))&lt;0,(3.14159265*1860/4)*((0.001*'Input data'!$B$20)-(2*'Input data'!$B$28*A111))^2*((0.33333*0.001*'Input data'!$B$20)-(2*'Input data'!$B$28*A111)),(3.14159265*1860/4)*((0.001*'Input data'!$B$20)-(2*'Input data'!$B$28*A111))^2*((0.33333*0.001*'Input data'!$B$20)-(2*'Input data'!$B$28*A111))),'Input data'!$B$21)</f>
        <v>0.40680208090393727</v>
      </c>
      <c r="AG111">
        <f t="shared" si="20"/>
        <v>0</v>
      </c>
      <c r="AH111">
        <f t="shared" si="21"/>
        <v>0</v>
      </c>
      <c r="AI111">
        <f t="shared" si="26"/>
        <v>0</v>
      </c>
      <c r="AJ111">
        <f t="shared" si="22"/>
        <v>3000</v>
      </c>
      <c r="AK111">
        <f>IF('Input data'!$B$26="S",'Input data'!$B$22,3.1415*(('Input data'!$B$20*0.0005)-('Input data'!$B$28*A111))^2)</f>
        <v>7.8539816250000026E-3</v>
      </c>
    </row>
    <row r="112" spans="1:37" x14ac:dyDescent="0.2">
      <c r="A112" s="9">
        <f>A111+'Input data'!$B$24</f>
        <v>10.499999999999979</v>
      </c>
      <c r="B112">
        <f>B111+(J111*'Input data'!$B$24)</f>
        <v>6.1097028269388316</v>
      </c>
      <c r="C112">
        <f>C111+(K111*'Input data'!$B$24)</f>
        <v>0</v>
      </c>
      <c r="D112">
        <f>D111+(L111*'Input data'!$B$24)</f>
        <v>-35.331734651368528</v>
      </c>
      <c r="E112">
        <f>IF('Input data'!$B$13=2,'Input data'!$B$25*((0.1036*LN(ABS(P111+1)))+0.8731),IF('Input data'!$B$13=3,'Input data'!$B$25*((0.139*LN(ABS(P111+1)))+0.7503),'Input data'!$B$25))</f>
        <v>5.4607297637127674</v>
      </c>
      <c r="F112">
        <f>E112*COS(RADIANS('Input data'!$B$10))</f>
        <v>5.4607297637127674</v>
      </c>
      <c r="G112">
        <f>E112*SIN(RADIANS('Input data'!$B$10))</f>
        <v>0</v>
      </c>
      <c r="H112">
        <f>1.22*EXP(-0.0001065*(P111+'Input data'!$B$12))</f>
        <v>1.2112973352596976</v>
      </c>
      <c r="I112">
        <f t="shared" si="16"/>
        <v>35.337694315157414</v>
      </c>
      <c r="J112">
        <f>-0.5*H112*I112*AK112*'Input data'!$B$19*(B112-F112)/AF112</f>
        <v>-0.13519606253711886</v>
      </c>
      <c r="K112">
        <f>-0.5*H112*I112*AK112*'Input data'!$B$19*(C112-G112)/AF112</f>
        <v>0</v>
      </c>
      <c r="L112">
        <f>(-0.5*H112*AK112*I112*'Input data'!$B$19*D112/AF112)-'Input data'!$B$23</f>
        <v>-2.4445844787052691</v>
      </c>
      <c r="M112">
        <f>IF(AF112&gt;0,IF(P111&lt;=Param_1,M111,M111+(B113*'Input data'!$B$24)),M111)</f>
        <v>69.925806336047046</v>
      </c>
      <c r="N112">
        <f>IF(AF112&gt;0,IF(P111&lt;=Param_1,N111,N111+(C113*'Input data'!$B$24)),N111)</f>
        <v>0</v>
      </c>
      <c r="O112">
        <f t="shared" si="15"/>
        <v>0</v>
      </c>
      <c r="P112">
        <f>IF(P111&lt;=-100000,0,IF(AF112&gt;0,IF(P111&lt;Param_1,P111,P111+(D113*'Input data'!$B$24)),P111))</f>
        <v>63.662057761888306</v>
      </c>
      <c r="Q112">
        <f t="shared" si="17"/>
        <v>69.925806336047046</v>
      </c>
      <c r="T112">
        <f t="shared" si="18"/>
        <v>69.925806336047046</v>
      </c>
      <c r="U112">
        <f t="shared" si="19"/>
        <v>0</v>
      </c>
      <c r="V112" s="74">
        <f>IF(X112=0,'Input data'!$Q$22,Q112)</f>
        <v>69.925806336047046</v>
      </c>
      <c r="W112" s="74">
        <f>IF(U112=0,'Input data'!$Q$23,U112)</f>
        <v>0</v>
      </c>
      <c r="X112" s="74">
        <f t="shared" si="25"/>
        <v>63.662057761888306</v>
      </c>
      <c r="Y112">
        <f>IF(P111&lt;Param_1,Y111,A113*'Input data'!$B$25*SIN(RADIANS('Input data'!$B$10)))</f>
        <v>0</v>
      </c>
      <c r="Z112">
        <f>IF(P111&lt;Param_1,Z111,A113*'Input data'!$B$25*COS(RADIANS('Input data'!$B$10)))</f>
        <v>44.166666666666579</v>
      </c>
      <c r="AA112">
        <f t="shared" si="23"/>
        <v>10.599999999999978</v>
      </c>
      <c r="AB112">
        <f t="shared" si="24"/>
        <v>5.1999999999999975</v>
      </c>
      <c r="AC112">
        <f>IF(ROUND(A112*10,3)='Input data'!$B$14*10,M112,0)</f>
        <v>0</v>
      </c>
      <c r="AD112">
        <f>IF(ROUND(A112*10,3)='Input data'!$B$14*10,N112,0)</f>
        <v>0</v>
      </c>
      <c r="AE112">
        <f>IF(ROUND(A112*10,3)='Input data'!$B$14*10,P112,0)</f>
        <v>0</v>
      </c>
      <c r="AF112">
        <f>IF('Input data'!$B$26="C",IF((3.14159265*1860/4)*((0.001*'Input data'!$B$20)-(2*'Input data'!$B$28*A112))^2*((0.33333*0.001*'Input data'!$B$20)-(2*'Input data'!$B$28*A112))&lt;0,(3.14159265*1860/4)*((0.001*'Input data'!$B$20)-(2*'Input data'!$B$28*A112))^2*((0.33333*0.001*'Input data'!$B$20)-(2*'Input data'!$B$28*A112)),(3.14159265*1860/4)*((0.001*'Input data'!$B$20)-(2*'Input data'!$B$28*A112))^2*((0.33333*0.001*'Input data'!$B$20)-(2*'Input data'!$B$28*A112))),'Input data'!$B$21)</f>
        <v>0.40680208090393727</v>
      </c>
      <c r="AG112">
        <f t="shared" si="20"/>
        <v>0</v>
      </c>
      <c r="AH112">
        <f t="shared" si="21"/>
        <v>0</v>
      </c>
      <c r="AI112">
        <f t="shared" si="26"/>
        <v>0</v>
      </c>
      <c r="AJ112">
        <f t="shared" si="22"/>
        <v>3000</v>
      </c>
      <c r="AK112">
        <f>IF('Input data'!$B$26="S",'Input data'!$B$22,3.1415*(('Input data'!$B$20*0.0005)-('Input data'!$B$28*A112))^2)</f>
        <v>7.8539816250000026E-3</v>
      </c>
    </row>
    <row r="113" spans="1:37" x14ac:dyDescent="0.2">
      <c r="A113" s="9">
        <f>A112+'Input data'!$B$24</f>
        <v>10.599999999999978</v>
      </c>
      <c r="B113">
        <f>B112+(J112*'Input data'!$B$24)</f>
        <v>6.0961832206851199</v>
      </c>
      <c r="C113">
        <f>C112+(K112*'Input data'!$B$24)</f>
        <v>0</v>
      </c>
      <c r="D113">
        <f>D112+(L112*'Input data'!$B$24)</f>
        <v>-35.576193099239056</v>
      </c>
      <c r="E113">
        <f>IF('Input data'!$B$13=2,'Input data'!$B$25*((0.1036*LN(ABS(P112+1)))+0.8731),IF('Input data'!$B$13=3,'Input data'!$B$25*((0.139*LN(ABS(P112+1)))+0.7503),'Input data'!$B$25))</f>
        <v>5.4376103673302669</v>
      </c>
      <c r="F113">
        <f>E113*COS(RADIANS('Input data'!$B$10))</f>
        <v>5.4376103673302669</v>
      </c>
      <c r="G113">
        <f>E113*SIN(RADIANS('Input data'!$B$10))</f>
        <v>0</v>
      </c>
      <c r="H113">
        <f>1.22*EXP(-0.0001065*(P112+'Input data'!$B$12))</f>
        <v>1.2117563663696744</v>
      </c>
      <c r="I113">
        <f t="shared" si="16"/>
        <v>35.582288201259914</v>
      </c>
      <c r="J113">
        <f>-0.5*H113*I113*AK113*'Input data'!$B$19*(B113-F113)/AF113</f>
        <v>-0.13819788893046667</v>
      </c>
      <c r="K113">
        <f>-0.5*H113*I113*AK113*'Input data'!$B$19*(C113-G113)/AF113</f>
        <v>0</v>
      </c>
      <c r="L113">
        <f>(-0.5*H113*AK113*I113*'Input data'!$B$19*D113/AF113)-'Input data'!$B$23</f>
        <v>-2.3395316657801395</v>
      </c>
      <c r="M113">
        <f>IF(AF113&gt;0,IF(P112&lt;=Param_1,M112,M112+(B114*'Input data'!$B$24)),M112)</f>
        <v>70.534042679226246</v>
      </c>
      <c r="N113">
        <f>IF(AF113&gt;0,IF(P112&lt;=Param_1,N112,N112+(C114*'Input data'!$B$24)),N112)</f>
        <v>0</v>
      </c>
      <c r="O113">
        <f t="shared" si="15"/>
        <v>0</v>
      </c>
      <c r="P113">
        <f>IF(P112&lt;=-100000,0,IF(AF113&gt;0,IF(P112&lt;Param_1,P112,P112+(D114*'Input data'!$B$24)),P112))</f>
        <v>60.081043135306601</v>
      </c>
      <c r="Q113">
        <f t="shared" si="17"/>
        <v>70.534042679226246</v>
      </c>
      <c r="T113">
        <f t="shared" si="18"/>
        <v>70.534042679226246</v>
      </c>
      <c r="U113">
        <f t="shared" si="19"/>
        <v>0</v>
      </c>
      <c r="V113" s="74">
        <f>IF(X113=0,'Input data'!$Q$22,Q113)</f>
        <v>70.534042679226246</v>
      </c>
      <c r="W113" s="74">
        <f>IF(U113=0,'Input data'!$Q$23,U113)</f>
        <v>0</v>
      </c>
      <c r="X113" s="74">
        <f t="shared" si="25"/>
        <v>60.081043135306601</v>
      </c>
      <c r="Y113">
        <f>IF(P112&lt;Param_1,Y112,A114*'Input data'!$B$25*SIN(RADIANS('Input data'!$B$10)))</f>
        <v>0</v>
      </c>
      <c r="Z113">
        <f>IF(P112&lt;Param_1,Z112,A114*'Input data'!$B$25*COS(RADIANS('Input data'!$B$10)))</f>
        <v>44.583333333333243</v>
      </c>
      <c r="AA113">
        <f t="shared" si="23"/>
        <v>10.699999999999978</v>
      </c>
      <c r="AB113">
        <f t="shared" si="24"/>
        <v>5.1999999999999975</v>
      </c>
      <c r="AC113">
        <f>IF(ROUND(A113*10,3)='Input data'!$B$14*10,M113,0)</f>
        <v>0</v>
      </c>
      <c r="AD113">
        <f>IF(ROUND(A113*10,3)='Input data'!$B$14*10,N113,0)</f>
        <v>0</v>
      </c>
      <c r="AE113">
        <f>IF(ROUND(A113*10,3)='Input data'!$B$14*10,P113,0)</f>
        <v>0</v>
      </c>
      <c r="AF113">
        <f>IF('Input data'!$B$26="C",IF((3.14159265*1860/4)*((0.001*'Input data'!$B$20)-(2*'Input data'!$B$28*A113))^2*((0.33333*0.001*'Input data'!$B$20)-(2*'Input data'!$B$28*A113))&lt;0,(3.14159265*1860/4)*((0.001*'Input data'!$B$20)-(2*'Input data'!$B$28*A113))^2*((0.33333*0.001*'Input data'!$B$20)-(2*'Input data'!$B$28*A113)),(3.14159265*1860/4)*((0.001*'Input data'!$B$20)-(2*'Input data'!$B$28*A113))^2*((0.33333*0.001*'Input data'!$B$20)-(2*'Input data'!$B$28*A113))),'Input data'!$B$21)</f>
        <v>0.40680208090393727</v>
      </c>
      <c r="AG113">
        <f t="shared" si="20"/>
        <v>0</v>
      </c>
      <c r="AH113">
        <f t="shared" si="21"/>
        <v>0</v>
      </c>
      <c r="AI113">
        <f t="shared" si="26"/>
        <v>0</v>
      </c>
      <c r="AJ113">
        <f t="shared" si="22"/>
        <v>3000</v>
      </c>
      <c r="AK113">
        <f>IF('Input data'!$B$26="S",'Input data'!$B$22,3.1415*(('Input data'!$B$20*0.0005)-('Input data'!$B$28*A113))^2)</f>
        <v>7.8539816250000026E-3</v>
      </c>
    </row>
    <row r="114" spans="1:37" x14ac:dyDescent="0.2">
      <c r="A114" s="9">
        <f>A113+'Input data'!$B$24</f>
        <v>10.699999999999978</v>
      </c>
      <c r="B114">
        <f>B113+(J113*'Input data'!$B$24)</f>
        <v>6.0823634317920732</v>
      </c>
      <c r="C114">
        <f>C113+(K113*'Input data'!$B$24)</f>
        <v>0</v>
      </c>
      <c r="D114">
        <f>D113+(L113*'Input data'!$B$24)</f>
        <v>-35.810146265817068</v>
      </c>
      <c r="E114">
        <f>IF('Input data'!$B$13=2,'Input data'!$B$25*((0.1036*LN(ABS(P113+1)))+0.8731),IF('Input data'!$B$13=3,'Input data'!$B$25*((0.139*LN(ABS(P113+1)))+0.7503),'Input data'!$B$25))</f>
        <v>5.4130170060365304</v>
      </c>
      <c r="F114">
        <f>E114*COS(RADIANS('Input data'!$B$10))</f>
        <v>5.4130170060365304</v>
      </c>
      <c r="G114">
        <f>E114*SIN(RADIANS('Input data'!$B$10))</f>
        <v>0</v>
      </c>
      <c r="H114">
        <f>1.22*EXP(-0.0001065*(P113+'Input data'!$B$12))</f>
        <v>1.2122185917948385</v>
      </c>
      <c r="I114">
        <f t="shared" si="16"/>
        <v>35.816401273953865</v>
      </c>
      <c r="J114">
        <f>-0.5*H114*I114*AK114*'Input data'!$B$19*(B114-F114)/AF114</f>
        <v>-0.14143673983226299</v>
      </c>
      <c r="K114">
        <f>-0.5*H114*I114*AK114*'Input data'!$B$19*(C114-G114)/AF114</f>
        <v>0</v>
      </c>
      <c r="L114">
        <f>(-0.5*H114*AK114*I114*'Input data'!$B$19*D114/AF114)-'Input data'!$B$23</f>
        <v>-2.2381106496362566</v>
      </c>
      <c r="M114">
        <f>IF(AF114&gt;0,IF(P113&lt;=Param_1,M113,M113+(B115*'Input data'!$B$24)),M113)</f>
        <v>71.140864655007135</v>
      </c>
      <c r="N114">
        <f>IF(AF114&gt;0,IF(P113&lt;=Param_1,N113,N113+(C115*'Input data'!$B$24)),N113)</f>
        <v>0</v>
      </c>
      <c r="O114">
        <f t="shared" si="15"/>
        <v>0</v>
      </c>
      <c r="P114">
        <f>IF(P113&lt;=-100000,0,IF(AF114&gt;0,IF(P113&lt;Param_1,P113,P113+(D115*'Input data'!$B$24)),P113))</f>
        <v>56.477647402228534</v>
      </c>
      <c r="Q114">
        <f t="shared" si="17"/>
        <v>71.140864655007135</v>
      </c>
      <c r="T114">
        <f t="shared" si="18"/>
        <v>71.140864655007135</v>
      </c>
      <c r="U114">
        <f t="shared" si="19"/>
        <v>0</v>
      </c>
      <c r="V114" s="74">
        <f>IF(X114=0,'Input data'!$Q$22,Q114)</f>
        <v>71.140864655007135</v>
      </c>
      <c r="W114" s="74">
        <f>IF(U114=0,'Input data'!$Q$23,U114)</f>
        <v>0</v>
      </c>
      <c r="X114" s="74">
        <f t="shared" si="25"/>
        <v>56.477647402228534</v>
      </c>
      <c r="Y114">
        <f>IF(P113&lt;Param_1,Y113,A115*'Input data'!$B$25*SIN(RADIANS('Input data'!$B$10)))</f>
        <v>0</v>
      </c>
      <c r="Z114">
        <f>IF(P113&lt;Param_1,Z113,A115*'Input data'!$B$25*COS(RADIANS('Input data'!$B$10)))</f>
        <v>44.999999999999908</v>
      </c>
      <c r="AA114">
        <f t="shared" si="23"/>
        <v>10.799999999999978</v>
      </c>
      <c r="AB114">
        <f t="shared" si="24"/>
        <v>5.1999999999999975</v>
      </c>
      <c r="AC114">
        <f>IF(ROUND(A114*10,3)='Input data'!$B$14*10,M114,0)</f>
        <v>0</v>
      </c>
      <c r="AD114">
        <f>IF(ROUND(A114*10,3)='Input data'!$B$14*10,N114,0)</f>
        <v>0</v>
      </c>
      <c r="AE114">
        <f>IF(ROUND(A114*10,3)='Input data'!$B$14*10,P114,0)</f>
        <v>0</v>
      </c>
      <c r="AF114">
        <f>IF('Input data'!$B$26="C",IF((3.14159265*1860/4)*((0.001*'Input data'!$B$20)-(2*'Input data'!$B$28*A114))^2*((0.33333*0.001*'Input data'!$B$20)-(2*'Input data'!$B$28*A114))&lt;0,(3.14159265*1860/4)*((0.001*'Input data'!$B$20)-(2*'Input data'!$B$28*A114))^2*((0.33333*0.001*'Input data'!$B$20)-(2*'Input data'!$B$28*A114)),(3.14159265*1860/4)*((0.001*'Input data'!$B$20)-(2*'Input data'!$B$28*A114))^2*((0.33333*0.001*'Input data'!$B$20)-(2*'Input data'!$B$28*A114))),'Input data'!$B$21)</f>
        <v>0.40680208090393727</v>
      </c>
      <c r="AG114">
        <f t="shared" si="20"/>
        <v>0</v>
      </c>
      <c r="AH114">
        <f t="shared" si="21"/>
        <v>0</v>
      </c>
      <c r="AI114">
        <f t="shared" si="26"/>
        <v>0</v>
      </c>
      <c r="AJ114">
        <f t="shared" si="22"/>
        <v>3000</v>
      </c>
      <c r="AK114">
        <f>IF('Input data'!$B$26="S",'Input data'!$B$22,3.1415*(('Input data'!$B$20*0.0005)-('Input data'!$B$28*A114))^2)</f>
        <v>7.8539816250000026E-3</v>
      </c>
    </row>
    <row r="115" spans="1:37" x14ac:dyDescent="0.2">
      <c r="A115" s="9">
        <f>A114+'Input data'!$B$24</f>
        <v>10.799999999999978</v>
      </c>
      <c r="B115">
        <f>B114+(J114*'Input data'!$B$24)</f>
        <v>6.0682197578088468</v>
      </c>
      <c r="C115">
        <f>C114+(K114*'Input data'!$B$24)</f>
        <v>0</v>
      </c>
      <c r="D115">
        <f>D114+(L114*'Input data'!$B$24)</f>
        <v>-36.033957330780694</v>
      </c>
      <c r="E115">
        <f>IF('Input data'!$B$13=2,'Input data'!$B$25*((0.1036*LN(ABS(P114+1)))+0.8731),IF('Input data'!$B$13=3,'Input data'!$B$25*((0.139*LN(ABS(P114+1)))+0.7503),'Input data'!$B$25))</f>
        <v>5.3867693300513944</v>
      </c>
      <c r="F115">
        <f>E115*COS(RADIANS('Input data'!$B$10))</f>
        <v>5.3867693300513944</v>
      </c>
      <c r="G115">
        <f>E115*SIN(RADIANS('Input data'!$B$10))</f>
        <v>0</v>
      </c>
      <c r="H115">
        <f>1.22*EXP(-0.0001065*(P114+'Input data'!$B$12))</f>
        <v>1.2126838840713741</v>
      </c>
      <c r="I115">
        <f t="shared" si="16"/>
        <v>36.040400325218563</v>
      </c>
      <c r="J115">
        <f>-0.5*H115*I115*AK115*'Input data'!$B$19*(B115-F115)/AF115</f>
        <v>-0.14495055474821855</v>
      </c>
      <c r="K115">
        <f>-0.5*H115*I115*AK115*'Input data'!$B$19*(C115-G115)/AF115</f>
        <v>0</v>
      </c>
      <c r="L115">
        <f>(-0.5*H115*AK115*I115*'Input data'!$B$19*D115/AF115)-'Input data'!$B$23</f>
        <v>-2.1402574272220374</v>
      </c>
      <c r="M115">
        <f>IF(AF115&gt;0,IF(P114&lt;=Param_1,M114,M114+(B116*'Input data'!$B$24)),M114)</f>
        <v>71.74623712524054</v>
      </c>
      <c r="N115">
        <f>IF(AF115&gt;0,IF(P114&lt;=Param_1,N114,N114+(C116*'Input data'!$B$24)),N114)</f>
        <v>0</v>
      </c>
      <c r="O115">
        <f t="shared" si="15"/>
        <v>0</v>
      </c>
      <c r="P115">
        <f>IF(P114&lt;=-100000,0,IF(AF115&gt;0,IF(P114&lt;Param_1,P114,P114+(D116*'Input data'!$B$24)),P114))</f>
        <v>52.852849094878245</v>
      </c>
      <c r="Q115">
        <f t="shared" si="17"/>
        <v>71.74623712524054</v>
      </c>
      <c r="T115">
        <f t="shared" si="18"/>
        <v>71.74623712524054</v>
      </c>
      <c r="U115">
        <f t="shared" si="19"/>
        <v>0</v>
      </c>
      <c r="V115" s="74">
        <f>IF(X115=0,'Input data'!$Q$22,Q115)</f>
        <v>71.74623712524054</v>
      </c>
      <c r="W115" s="74">
        <f>IF(U115=0,'Input data'!$Q$23,U115)</f>
        <v>0</v>
      </c>
      <c r="X115" s="74">
        <f t="shared" si="25"/>
        <v>52.852849094878245</v>
      </c>
      <c r="Y115">
        <f>IF(P114&lt;Param_1,Y114,A116*'Input data'!$B$25*SIN(RADIANS('Input data'!$B$10)))</f>
        <v>0</v>
      </c>
      <c r="Z115">
        <f>IF(P114&lt;Param_1,Z114,A116*'Input data'!$B$25*COS(RADIANS('Input data'!$B$10)))</f>
        <v>45.416666666666572</v>
      </c>
      <c r="AA115">
        <f t="shared" si="23"/>
        <v>10.899999999999977</v>
      </c>
      <c r="AB115">
        <f t="shared" si="24"/>
        <v>5.1999999999999975</v>
      </c>
      <c r="AC115">
        <f>IF(ROUND(A115*10,3)='Input data'!$B$14*10,M115,0)</f>
        <v>0</v>
      </c>
      <c r="AD115">
        <f>IF(ROUND(A115*10,3)='Input data'!$B$14*10,N115,0)</f>
        <v>0</v>
      </c>
      <c r="AE115">
        <f>IF(ROUND(A115*10,3)='Input data'!$B$14*10,P115,0)</f>
        <v>0</v>
      </c>
      <c r="AF115">
        <f>IF('Input data'!$B$26="C",IF((3.14159265*1860/4)*((0.001*'Input data'!$B$20)-(2*'Input data'!$B$28*A115))^2*((0.33333*0.001*'Input data'!$B$20)-(2*'Input data'!$B$28*A115))&lt;0,(3.14159265*1860/4)*((0.001*'Input data'!$B$20)-(2*'Input data'!$B$28*A115))^2*((0.33333*0.001*'Input data'!$B$20)-(2*'Input data'!$B$28*A115)),(3.14159265*1860/4)*((0.001*'Input data'!$B$20)-(2*'Input data'!$B$28*A115))^2*((0.33333*0.001*'Input data'!$B$20)-(2*'Input data'!$B$28*A115))),'Input data'!$B$21)</f>
        <v>0.40680208090393727</v>
      </c>
      <c r="AG115">
        <f t="shared" si="20"/>
        <v>0</v>
      </c>
      <c r="AH115">
        <f t="shared" si="21"/>
        <v>0</v>
      </c>
      <c r="AI115">
        <f t="shared" si="26"/>
        <v>0</v>
      </c>
      <c r="AJ115">
        <f t="shared" si="22"/>
        <v>3000</v>
      </c>
      <c r="AK115">
        <f>IF('Input data'!$B$26="S",'Input data'!$B$22,3.1415*(('Input data'!$B$20*0.0005)-('Input data'!$B$28*A115))^2)</f>
        <v>7.8539816250000026E-3</v>
      </c>
    </row>
    <row r="116" spans="1:37" x14ac:dyDescent="0.2">
      <c r="A116" s="9">
        <f>A115+'Input data'!$B$24</f>
        <v>10.899999999999977</v>
      </c>
      <c r="B116">
        <f>B115+(J115*'Input data'!$B$24)</f>
        <v>6.0537247023340246</v>
      </c>
      <c r="C116">
        <f>C115+(K115*'Input data'!$B$24)</f>
        <v>0</v>
      </c>
      <c r="D116">
        <f>D115+(L115*'Input data'!$B$24)</f>
        <v>-36.247983073502901</v>
      </c>
      <c r="E116">
        <f>IF('Input data'!$B$13=2,'Input data'!$B$25*((0.1036*LN(ABS(P115+1)))+0.8731),IF('Input data'!$B$13=3,'Input data'!$B$25*((0.139*LN(ABS(P115+1)))+0.7503),'Input data'!$B$25))</f>
        <v>5.3586502088968277</v>
      </c>
      <c r="F116">
        <f>E116*COS(RADIANS('Input data'!$B$10))</f>
        <v>5.3586502088968277</v>
      </c>
      <c r="G116">
        <f>E116*SIN(RADIANS('Input data'!$B$10))</f>
        <v>0</v>
      </c>
      <c r="H116">
        <f>1.22*EXP(-0.0001065*(P115+'Input data'!$B$12))</f>
        <v>1.2131521201679496</v>
      </c>
      <c r="I116">
        <f t="shared" si="16"/>
        <v>36.254646673886917</v>
      </c>
      <c r="J116">
        <f>-0.5*H116*I116*AK116*'Input data'!$B$19*(B116-F116)/AF116</f>
        <v>-0.14878484309556902</v>
      </c>
      <c r="K116">
        <f>-0.5*H116*I116*AK116*'Input data'!$B$19*(C116-G116)/AF116</f>
        <v>0</v>
      </c>
      <c r="L116">
        <f>(-0.5*H116*AK116*I116*'Input data'!$B$19*D116/AF116)-'Input data'!$B$23</f>
        <v>-2.0459029175384824</v>
      </c>
      <c r="M116">
        <f>IF(AF116&gt;0,IF(P115&lt;=Param_1,M115,M115+(B117*'Input data'!$B$24)),M115)</f>
        <v>72.350121747042991</v>
      </c>
      <c r="N116">
        <f>IF(AF116&gt;0,IF(P115&lt;=Param_1,N115,N115+(C117*'Input data'!$B$24)),N115)</f>
        <v>0</v>
      </c>
      <c r="O116">
        <f t="shared" si="15"/>
        <v>0</v>
      </c>
      <c r="P116">
        <f>IF(P115&lt;=-100000,0,IF(AF116&gt;0,IF(P115&lt;Param_1,P115,P115+(D117*'Input data'!$B$24)),P115))</f>
        <v>49.207591758352571</v>
      </c>
      <c r="Q116">
        <f t="shared" si="17"/>
        <v>72.350121747042991</v>
      </c>
      <c r="T116">
        <f t="shared" si="18"/>
        <v>72.350121747042991</v>
      </c>
      <c r="U116">
        <f t="shared" si="19"/>
        <v>0</v>
      </c>
      <c r="V116" s="74">
        <f>IF(X116=0,'Input data'!$Q$22,Q116)</f>
        <v>72.350121747042991</v>
      </c>
      <c r="W116" s="74">
        <f>IF(U116=0,'Input data'!$Q$23,U116)</f>
        <v>0</v>
      </c>
      <c r="X116" s="74">
        <f t="shared" si="25"/>
        <v>49.207591758352571</v>
      </c>
      <c r="Y116">
        <f>IF(P115&lt;Param_1,Y115,A117*'Input data'!$B$25*SIN(RADIANS('Input data'!$B$10)))</f>
        <v>0</v>
      </c>
      <c r="Z116">
        <f>IF(P115&lt;Param_1,Z115,A117*'Input data'!$B$25*COS(RADIANS('Input data'!$B$10)))</f>
        <v>45.833333333333243</v>
      </c>
      <c r="AA116">
        <f t="shared" si="23"/>
        <v>10.999999999999977</v>
      </c>
      <c r="AB116">
        <f t="shared" si="24"/>
        <v>5.1999999999999975</v>
      </c>
      <c r="AC116">
        <f>IF(ROUND(A116*10,3)='Input data'!$B$14*10,M116,0)</f>
        <v>0</v>
      </c>
      <c r="AD116">
        <f>IF(ROUND(A116*10,3)='Input data'!$B$14*10,N116,0)</f>
        <v>0</v>
      </c>
      <c r="AE116">
        <f>IF(ROUND(A116*10,3)='Input data'!$B$14*10,P116,0)</f>
        <v>0</v>
      </c>
      <c r="AF116">
        <f>IF('Input data'!$B$26="C",IF((3.14159265*1860/4)*((0.001*'Input data'!$B$20)-(2*'Input data'!$B$28*A116))^2*((0.33333*0.001*'Input data'!$B$20)-(2*'Input data'!$B$28*A116))&lt;0,(3.14159265*1860/4)*((0.001*'Input data'!$B$20)-(2*'Input data'!$B$28*A116))^2*((0.33333*0.001*'Input data'!$B$20)-(2*'Input data'!$B$28*A116)),(3.14159265*1860/4)*((0.001*'Input data'!$B$20)-(2*'Input data'!$B$28*A116))^2*((0.33333*0.001*'Input data'!$B$20)-(2*'Input data'!$B$28*A116))),'Input data'!$B$21)</f>
        <v>0.40680208090393727</v>
      </c>
      <c r="AG116">
        <f t="shared" si="20"/>
        <v>0</v>
      </c>
      <c r="AH116">
        <f t="shared" si="21"/>
        <v>0</v>
      </c>
      <c r="AI116">
        <f t="shared" si="26"/>
        <v>0</v>
      </c>
      <c r="AJ116">
        <f t="shared" si="22"/>
        <v>3000</v>
      </c>
      <c r="AK116">
        <f>IF('Input data'!$B$26="S",'Input data'!$B$22,3.1415*(('Input data'!$B$20*0.0005)-('Input data'!$B$28*A116))^2)</f>
        <v>7.8539816250000026E-3</v>
      </c>
    </row>
    <row r="117" spans="1:37" x14ac:dyDescent="0.2">
      <c r="A117" s="9">
        <f>A116+'Input data'!$B$24</f>
        <v>10.999999999999977</v>
      </c>
      <c r="B117">
        <f>B116+(J116*'Input data'!$B$24)</f>
        <v>6.0388462180244673</v>
      </c>
      <c r="C117">
        <f>C116+(K116*'Input data'!$B$24)</f>
        <v>0</v>
      </c>
      <c r="D117">
        <f>D116+(L116*'Input data'!$B$24)</f>
        <v>-36.452573365256747</v>
      </c>
      <c r="E117">
        <f>IF('Input data'!$B$13=2,'Input data'!$B$25*((0.1036*LN(ABS(P116+1)))+0.8731),IF('Input data'!$B$13=3,'Input data'!$B$25*((0.139*LN(ABS(P116+1)))+0.7503),'Input data'!$B$25))</f>
        <v>5.3283950959783155</v>
      </c>
      <c r="F117">
        <f>E117*COS(RADIANS('Input data'!$B$10))</f>
        <v>5.3283950959783155</v>
      </c>
      <c r="G117">
        <f>E117*SIN(RADIANS('Input data'!$B$10))</f>
        <v>0</v>
      </c>
      <c r="H117">
        <f>1.22*EXP(-0.0001065*(P116+'Input data'!$B$12))</f>
        <v>1.2136231814021752</v>
      </c>
      <c r="I117">
        <f t="shared" si="16"/>
        <v>36.459495961220341</v>
      </c>
      <c r="J117">
        <f>-0.5*H117*I117*AK117*'Input data'!$B$19*(B117-F117)/AF117</f>
        <v>-0.15299496166198803</v>
      </c>
      <c r="K117">
        <f>-0.5*H117*I117*AK117*'Input data'!$B$19*(C117-G117)/AF117</f>
        <v>0</v>
      </c>
      <c r="L117">
        <f>(-0.5*H117*AK117*I117*'Input data'!$B$19*D117/AF117)-'Input data'!$B$23</f>
        <v>-1.9549735992591346</v>
      </c>
      <c r="M117">
        <f>IF(AF117&gt;0,IF(P116&lt;=Param_1,M116,M116+(B118*'Input data'!$B$24)),M116)</f>
        <v>72.952476419228816</v>
      </c>
      <c r="N117">
        <f>IF(AF117&gt;0,IF(P116&lt;=Param_1,N116,N116+(C118*'Input data'!$B$24)),N116)</f>
        <v>0</v>
      </c>
      <c r="O117">
        <f t="shared" si="15"/>
        <v>0</v>
      </c>
      <c r="P117">
        <f>IF(P116&lt;=-100000,0,IF(AF117&gt;0,IF(P116&lt;Param_1,P116,P116+(D118*'Input data'!$B$24)),P116))</f>
        <v>45.542784685834306</v>
      </c>
      <c r="Q117">
        <f t="shared" si="17"/>
        <v>72.952476419228816</v>
      </c>
      <c r="T117">
        <f t="shared" si="18"/>
        <v>72.952476419228816</v>
      </c>
      <c r="U117">
        <f t="shared" si="19"/>
        <v>0</v>
      </c>
      <c r="V117" s="74">
        <f>IF(X117=0,'Input data'!$Q$22,Q117)</f>
        <v>72.952476419228816</v>
      </c>
      <c r="W117" s="74">
        <f>IF(U117=0,'Input data'!$Q$23,U117)</f>
        <v>0</v>
      </c>
      <c r="X117" s="74">
        <f t="shared" si="25"/>
        <v>45.542784685834306</v>
      </c>
      <c r="Y117">
        <f>IF(P116&lt;Param_1,Y116,A118*'Input data'!$B$25*SIN(RADIANS('Input data'!$B$10)))</f>
        <v>0</v>
      </c>
      <c r="Z117">
        <f>IF(P116&lt;Param_1,Z116,A118*'Input data'!$B$25*COS(RADIANS('Input data'!$B$10)))</f>
        <v>46.249999999999908</v>
      </c>
      <c r="AA117">
        <f t="shared" si="23"/>
        <v>11.099999999999977</v>
      </c>
      <c r="AB117">
        <f t="shared" si="24"/>
        <v>5.1999999999999975</v>
      </c>
      <c r="AC117">
        <f>IF(ROUND(A117*10,3)='Input data'!$B$14*10,M117,0)</f>
        <v>0</v>
      </c>
      <c r="AD117">
        <f>IF(ROUND(A117*10,3)='Input data'!$B$14*10,N117,0)</f>
        <v>0</v>
      </c>
      <c r="AE117">
        <f>IF(ROUND(A117*10,3)='Input data'!$B$14*10,P117,0)</f>
        <v>0</v>
      </c>
      <c r="AF117">
        <f>IF('Input data'!$B$26="C",IF((3.14159265*1860/4)*((0.001*'Input data'!$B$20)-(2*'Input data'!$B$28*A117))^2*((0.33333*0.001*'Input data'!$B$20)-(2*'Input data'!$B$28*A117))&lt;0,(3.14159265*1860/4)*((0.001*'Input data'!$B$20)-(2*'Input data'!$B$28*A117))^2*((0.33333*0.001*'Input data'!$B$20)-(2*'Input data'!$B$28*A117)),(3.14159265*1860/4)*((0.001*'Input data'!$B$20)-(2*'Input data'!$B$28*A117))^2*((0.33333*0.001*'Input data'!$B$20)-(2*'Input data'!$B$28*A117))),'Input data'!$B$21)</f>
        <v>0.40680208090393727</v>
      </c>
      <c r="AG117">
        <f t="shared" si="20"/>
        <v>0</v>
      </c>
      <c r="AH117">
        <f t="shared" si="21"/>
        <v>0</v>
      </c>
      <c r="AI117">
        <f t="shared" si="26"/>
        <v>0</v>
      </c>
      <c r="AJ117">
        <f t="shared" si="22"/>
        <v>3000</v>
      </c>
      <c r="AK117">
        <f>IF('Input data'!$B$26="S",'Input data'!$B$22,3.1415*(('Input data'!$B$20*0.0005)-('Input data'!$B$28*A117))^2)</f>
        <v>7.8539816250000026E-3</v>
      </c>
    </row>
    <row r="118" spans="1:37" x14ac:dyDescent="0.2">
      <c r="A118" s="9">
        <f>A117+'Input data'!$B$24</f>
        <v>11.099999999999977</v>
      </c>
      <c r="B118">
        <f>B117+(J117*'Input data'!$B$24)</f>
        <v>6.0235467218582688</v>
      </c>
      <c r="C118">
        <f>C117+(K117*'Input data'!$B$24)</f>
        <v>0</v>
      </c>
      <c r="D118">
        <f>D117+(L117*'Input data'!$B$24)</f>
        <v>-36.648070725182663</v>
      </c>
      <c r="E118">
        <f>IF('Input data'!$B$13=2,'Input data'!$B$25*((0.1036*LN(ABS(P117+1)))+0.8731),IF('Input data'!$B$13=3,'Input data'!$B$25*((0.139*LN(ABS(P117+1)))+0.7503),'Input data'!$B$25))</f>
        <v>5.2956772424927507</v>
      </c>
      <c r="F118">
        <f>E118*COS(RADIANS('Input data'!$B$10))</f>
        <v>5.2956772424927507</v>
      </c>
      <c r="G118">
        <f>E118*SIN(RADIANS('Input data'!$B$10))</f>
        <v>0</v>
      </c>
      <c r="H118">
        <f>1.22*EXP(-0.0001065*(P117+'Input data'!$B$12))</f>
        <v>1.2140969533513977</v>
      </c>
      <c r="I118">
        <f t="shared" si="16"/>
        <v>36.655298141700911</v>
      </c>
      <c r="J118">
        <f>-0.5*H118*I118*AK118*'Input data'!$B$19*(B118-F118)/AF118</f>
        <v>-0.15764929597634345</v>
      </c>
      <c r="K118">
        <f>-0.5*H118*I118*AK118*'Input data'!$B$19*(C118-G118)/AF118</f>
        <v>0</v>
      </c>
      <c r="L118">
        <f>(-0.5*H118*AK118*I118*'Input data'!$B$19*D118/AF118)-'Input data'!$B$23</f>
        <v>-1.8673920737100298</v>
      </c>
      <c r="M118">
        <f>IF(AF118&gt;0,IF(P117&lt;=Param_1,M117,M117+(B119*'Input data'!$B$24)),M117)</f>
        <v>73.553254598454885</v>
      </c>
      <c r="N118">
        <f>IF(AF118&gt;0,IF(P117&lt;=Param_1,N117,N117+(C119*'Input data'!$B$24)),N117)</f>
        <v>0</v>
      </c>
      <c r="O118">
        <f t="shared" si="15"/>
        <v>0</v>
      </c>
      <c r="P118">
        <f>IF(P117&lt;=-100000,0,IF(AF118&gt;0,IF(P117&lt;Param_1,P117,P117+(D119*'Input data'!$B$24)),P117))</f>
        <v>41.859303692578941</v>
      </c>
      <c r="Q118">
        <f t="shared" si="17"/>
        <v>73.553254598454885</v>
      </c>
      <c r="T118">
        <f t="shared" si="18"/>
        <v>73.553254598454885</v>
      </c>
      <c r="U118">
        <f t="shared" si="19"/>
        <v>0</v>
      </c>
      <c r="V118" s="74">
        <f>IF(X118=0,'Input data'!$Q$22,Q118)</f>
        <v>73.553254598454885</v>
      </c>
      <c r="W118" s="74">
        <f>IF(U118=0,'Input data'!$Q$23,U118)</f>
        <v>0</v>
      </c>
      <c r="X118" s="74">
        <f t="shared" si="25"/>
        <v>41.859303692578941</v>
      </c>
      <c r="Y118">
        <f>IF(P117&lt;Param_1,Y117,A119*'Input data'!$B$25*SIN(RADIANS('Input data'!$B$10)))</f>
        <v>0</v>
      </c>
      <c r="Z118">
        <f>IF(P117&lt;Param_1,Z117,A119*'Input data'!$B$25*COS(RADIANS('Input data'!$B$10)))</f>
        <v>46.666666666666572</v>
      </c>
      <c r="AA118">
        <f t="shared" si="23"/>
        <v>11.199999999999976</v>
      </c>
      <c r="AB118">
        <f t="shared" si="24"/>
        <v>5.1999999999999975</v>
      </c>
      <c r="AC118">
        <f>IF(ROUND(A118*10,3)='Input data'!$B$14*10,M118,0)</f>
        <v>0</v>
      </c>
      <c r="AD118">
        <f>IF(ROUND(A118*10,3)='Input data'!$B$14*10,N118,0)</f>
        <v>0</v>
      </c>
      <c r="AE118">
        <f>IF(ROUND(A118*10,3)='Input data'!$B$14*10,P118,0)</f>
        <v>0</v>
      </c>
      <c r="AF118">
        <f>IF('Input data'!$B$26="C",IF((3.14159265*1860/4)*((0.001*'Input data'!$B$20)-(2*'Input data'!$B$28*A118))^2*((0.33333*0.001*'Input data'!$B$20)-(2*'Input data'!$B$28*A118))&lt;0,(3.14159265*1860/4)*((0.001*'Input data'!$B$20)-(2*'Input data'!$B$28*A118))^2*((0.33333*0.001*'Input data'!$B$20)-(2*'Input data'!$B$28*A118)),(3.14159265*1860/4)*((0.001*'Input data'!$B$20)-(2*'Input data'!$B$28*A118))^2*((0.33333*0.001*'Input data'!$B$20)-(2*'Input data'!$B$28*A118))),'Input data'!$B$21)</f>
        <v>0.40680208090393727</v>
      </c>
      <c r="AG118">
        <f t="shared" si="20"/>
        <v>0</v>
      </c>
      <c r="AH118">
        <f t="shared" si="21"/>
        <v>0</v>
      </c>
      <c r="AI118">
        <f t="shared" si="26"/>
        <v>0</v>
      </c>
      <c r="AJ118">
        <f t="shared" si="22"/>
        <v>3000</v>
      </c>
      <c r="AK118">
        <f>IF('Input data'!$B$26="S",'Input data'!$B$22,3.1415*(('Input data'!$B$20*0.0005)-('Input data'!$B$28*A118))^2)</f>
        <v>7.8539816250000026E-3</v>
      </c>
    </row>
    <row r="119" spans="1:37" x14ac:dyDescent="0.2">
      <c r="A119" s="9">
        <f>A118+'Input data'!$B$24</f>
        <v>11.199999999999976</v>
      </c>
      <c r="B119">
        <f>B118+(J118*'Input data'!$B$24)</f>
        <v>6.0077817922606345</v>
      </c>
      <c r="C119">
        <f>C118+(K118*'Input data'!$B$24)</f>
        <v>0</v>
      </c>
      <c r="D119">
        <f>D118+(L118*'Input data'!$B$24)</f>
        <v>-36.834809932553668</v>
      </c>
      <c r="E119">
        <f>IF('Input data'!$B$13=2,'Input data'!$B$25*((0.1036*LN(ABS(P118+1)))+0.8731),IF('Input data'!$B$13=3,'Input data'!$B$25*((0.139*LN(ABS(P118+1)))+0.7503),'Input data'!$B$25))</f>
        <v>5.2600866510837578</v>
      </c>
      <c r="F119">
        <f>E119*COS(RADIANS('Input data'!$B$10))</f>
        <v>5.2600866510837578</v>
      </c>
      <c r="G119">
        <f>E119*SIN(RADIANS('Input data'!$B$10))</f>
        <v>0</v>
      </c>
      <c r="H119">
        <f>1.22*EXP(-0.0001065*(P118+'Input data'!$B$12))</f>
        <v>1.2145733257585267</v>
      </c>
      <c r="I119">
        <f t="shared" si="16"/>
        <v>36.842397734016899</v>
      </c>
      <c r="J119">
        <f>-0.5*H119*I119*AK119*'Input data'!$B$19*(B119-F119)/AF119</f>
        <v>-0.16283381014499468</v>
      </c>
      <c r="K119">
        <f>-0.5*H119*I119*AK119*'Input data'!$B$19*(C119-G119)/AF119</f>
        <v>0</v>
      </c>
      <c r="L119">
        <f>(-0.5*H119*AK119*I119*'Input data'!$B$19*D119/AF119)-'Input data'!$B$23</f>
        <v>-1.7830775386027042</v>
      </c>
      <c r="M119">
        <f>IF(AF119&gt;0,IF(P118&lt;=Param_1,M118,M118+(B120*'Input data'!$B$24)),M118)</f>
        <v>74.152404439579499</v>
      </c>
      <c r="N119">
        <f>IF(AF119&gt;0,IF(P118&lt;=Param_1,N118,N118+(C120*'Input data'!$B$24)),N118)</f>
        <v>0</v>
      </c>
      <c r="O119">
        <f t="shared" si="15"/>
        <v>0</v>
      </c>
      <c r="P119">
        <f>IF(P118&lt;=-100000,0,IF(AF119&gt;0,IF(P118&lt;Param_1,P118,P118+(D120*'Input data'!$B$24)),P118))</f>
        <v>38.157991923937544</v>
      </c>
      <c r="Q119">
        <f t="shared" si="17"/>
        <v>74.152404439579499</v>
      </c>
      <c r="T119">
        <f t="shared" si="18"/>
        <v>74.152404439579499</v>
      </c>
      <c r="U119">
        <f t="shared" si="19"/>
        <v>0</v>
      </c>
      <c r="V119" s="74">
        <f>IF(X119=0,'Input data'!$Q$22,Q119)</f>
        <v>74.152404439579499</v>
      </c>
      <c r="W119" s="74">
        <f>IF(U119=0,'Input data'!$Q$23,U119)</f>
        <v>0</v>
      </c>
      <c r="X119" s="74">
        <f t="shared" si="25"/>
        <v>38.157991923937544</v>
      </c>
      <c r="Y119">
        <f>IF(P118&lt;Param_1,Y118,A120*'Input data'!$B$25*SIN(RADIANS('Input data'!$B$10)))</f>
        <v>0</v>
      </c>
      <c r="Z119">
        <f>IF(P118&lt;Param_1,Z118,A120*'Input data'!$B$25*COS(RADIANS('Input data'!$B$10)))</f>
        <v>47.083333333333236</v>
      </c>
      <c r="AA119">
        <f t="shared" si="23"/>
        <v>11.299999999999976</v>
      </c>
      <c r="AB119">
        <f t="shared" si="24"/>
        <v>5.1999999999999975</v>
      </c>
      <c r="AC119">
        <f>IF(ROUND(A119*10,3)='Input data'!$B$14*10,M119,0)</f>
        <v>0</v>
      </c>
      <c r="AD119">
        <f>IF(ROUND(A119*10,3)='Input data'!$B$14*10,N119,0)</f>
        <v>0</v>
      </c>
      <c r="AE119">
        <f>IF(ROUND(A119*10,3)='Input data'!$B$14*10,P119,0)</f>
        <v>0</v>
      </c>
      <c r="AF119">
        <f>IF('Input data'!$B$26="C",IF((3.14159265*1860/4)*((0.001*'Input data'!$B$20)-(2*'Input data'!$B$28*A119))^2*((0.33333*0.001*'Input data'!$B$20)-(2*'Input data'!$B$28*A119))&lt;0,(3.14159265*1860/4)*((0.001*'Input data'!$B$20)-(2*'Input data'!$B$28*A119))^2*((0.33333*0.001*'Input data'!$B$20)-(2*'Input data'!$B$28*A119)),(3.14159265*1860/4)*((0.001*'Input data'!$B$20)-(2*'Input data'!$B$28*A119))^2*((0.33333*0.001*'Input data'!$B$20)-(2*'Input data'!$B$28*A119))),'Input data'!$B$21)</f>
        <v>0.40680208090393727</v>
      </c>
      <c r="AG119">
        <f t="shared" si="20"/>
        <v>0</v>
      </c>
      <c r="AH119">
        <f t="shared" si="21"/>
        <v>0</v>
      </c>
      <c r="AI119">
        <f t="shared" si="26"/>
        <v>0</v>
      </c>
      <c r="AJ119">
        <f t="shared" si="22"/>
        <v>3000</v>
      </c>
      <c r="AK119">
        <f>IF('Input data'!$B$26="S",'Input data'!$B$22,3.1415*(('Input data'!$B$20*0.0005)-('Input data'!$B$28*A119))^2)</f>
        <v>7.8539816250000026E-3</v>
      </c>
    </row>
    <row r="120" spans="1:37" x14ac:dyDescent="0.2">
      <c r="A120" s="9">
        <f>A119+'Input data'!$B$24</f>
        <v>11.299999999999976</v>
      </c>
      <c r="B120">
        <f>B119+(J119*'Input data'!$B$24)</f>
        <v>5.9914984112461349</v>
      </c>
      <c r="C120">
        <f>C119+(K119*'Input data'!$B$24)</f>
        <v>0</v>
      </c>
      <c r="D120">
        <f>D119+(L119*'Input data'!$B$24)</f>
        <v>-37.013117686413935</v>
      </c>
      <c r="E120">
        <f>IF('Input data'!$B$13=2,'Input data'!$B$25*((0.1036*LN(ABS(P119+1)))+0.8731),IF('Input data'!$B$13=3,'Input data'!$B$25*((0.139*LN(ABS(P119+1)))+0.7503),'Input data'!$B$25))</f>
        <v>5.2210992920605825</v>
      </c>
      <c r="F120">
        <f>E120*COS(RADIANS('Input data'!$B$10))</f>
        <v>5.2210992920605825</v>
      </c>
      <c r="G120">
        <f>E120*SIN(RADIANS('Input data'!$B$10))</f>
        <v>0</v>
      </c>
      <c r="H120">
        <f>1.22*EXP(-0.0001065*(P119+'Input data'!$B$12))</f>
        <v>1.2150521924334723</v>
      </c>
      <c r="I120">
        <f t="shared" si="16"/>
        <v>37.021134446031901</v>
      </c>
      <c r="J120">
        <f>-0.5*H120*I120*AK120*'Input data'!$B$19*(B120-F120)/AF120</f>
        <v>-0.16865873346898236</v>
      </c>
      <c r="K120">
        <f>-0.5*H120*I120*AK120*'Input data'!$B$19*(C120-G120)/AF120</f>
        <v>0</v>
      </c>
      <c r="L120">
        <f>(-0.5*H120*AK120*I120*'Input data'!$B$19*D120/AF120)-'Input data'!$B$23</f>
        <v>-1.7019461474352706</v>
      </c>
      <c r="M120">
        <f>IF(AF120&gt;0,IF(P119&lt;=Param_1,M119,M119+(B121*'Input data'!$B$24)),M119)</f>
        <v>74.749867693369424</v>
      </c>
      <c r="N120">
        <f>IF(AF120&gt;0,IF(P119&lt;=Param_1,N119,N119+(C121*'Input data'!$B$24)),N119)</f>
        <v>0</v>
      </c>
      <c r="O120">
        <f t="shared" si="15"/>
        <v>0</v>
      </c>
      <c r="P120">
        <f>IF(P119&lt;=-100000,0,IF(AF120&gt;0,IF(P119&lt;Param_1,P119,P119+(D121*'Input data'!$B$24)),P119))</f>
        <v>34.4396606938218</v>
      </c>
      <c r="Q120">
        <f t="shared" si="17"/>
        <v>74.749867693369424</v>
      </c>
      <c r="T120">
        <f t="shared" si="18"/>
        <v>74.749867693369424</v>
      </c>
      <c r="U120">
        <f t="shared" si="19"/>
        <v>0</v>
      </c>
      <c r="V120" s="74">
        <f>IF(X120=0,'Input data'!$Q$22,Q120)</f>
        <v>74.749867693369424</v>
      </c>
      <c r="W120" s="74">
        <f>IF(U120=0,'Input data'!$Q$23,U120)</f>
        <v>0</v>
      </c>
      <c r="X120" s="74">
        <f t="shared" si="25"/>
        <v>34.4396606938218</v>
      </c>
      <c r="Y120">
        <f>IF(P119&lt;Param_1,Y119,A121*'Input data'!$B$25*SIN(RADIANS('Input data'!$B$10)))</f>
        <v>0</v>
      </c>
      <c r="Z120">
        <f>IF(P119&lt;Param_1,Z119,A121*'Input data'!$B$25*COS(RADIANS('Input data'!$B$10)))</f>
        <v>47.499999999999901</v>
      </c>
      <c r="AA120">
        <f t="shared" si="23"/>
        <v>11.399999999999975</v>
      </c>
      <c r="AB120">
        <f t="shared" si="24"/>
        <v>5.1999999999999975</v>
      </c>
      <c r="AC120">
        <f>IF(ROUND(A120*10,3)='Input data'!$B$14*10,M120,0)</f>
        <v>0</v>
      </c>
      <c r="AD120">
        <f>IF(ROUND(A120*10,3)='Input data'!$B$14*10,N120,0)</f>
        <v>0</v>
      </c>
      <c r="AE120">
        <f>IF(ROUND(A120*10,3)='Input data'!$B$14*10,P120,0)</f>
        <v>0</v>
      </c>
      <c r="AF120">
        <f>IF('Input data'!$B$26="C",IF((3.14159265*1860/4)*((0.001*'Input data'!$B$20)-(2*'Input data'!$B$28*A120))^2*((0.33333*0.001*'Input data'!$B$20)-(2*'Input data'!$B$28*A120))&lt;0,(3.14159265*1860/4)*((0.001*'Input data'!$B$20)-(2*'Input data'!$B$28*A120))^2*((0.33333*0.001*'Input data'!$B$20)-(2*'Input data'!$B$28*A120)),(3.14159265*1860/4)*((0.001*'Input data'!$B$20)-(2*'Input data'!$B$28*A120))^2*((0.33333*0.001*'Input data'!$B$20)-(2*'Input data'!$B$28*A120))),'Input data'!$B$21)</f>
        <v>0.40680208090393727</v>
      </c>
      <c r="AG120">
        <f t="shared" si="20"/>
        <v>0</v>
      </c>
      <c r="AH120">
        <f t="shared" si="21"/>
        <v>0</v>
      </c>
      <c r="AI120">
        <f t="shared" si="26"/>
        <v>0</v>
      </c>
      <c r="AJ120">
        <f t="shared" si="22"/>
        <v>3000</v>
      </c>
      <c r="AK120">
        <f>IF('Input data'!$B$26="S",'Input data'!$B$22,3.1415*(('Input data'!$B$20*0.0005)-('Input data'!$B$28*A120))^2)</f>
        <v>7.8539816250000026E-3</v>
      </c>
    </row>
    <row r="121" spans="1:37" x14ac:dyDescent="0.2">
      <c r="A121" s="9">
        <f>A120+'Input data'!$B$24</f>
        <v>11.399999999999975</v>
      </c>
      <c r="B121">
        <f>B120+(J120*'Input data'!$B$24)</f>
        <v>5.9746325378992369</v>
      </c>
      <c r="C121">
        <f>C120+(K120*'Input data'!$B$24)</f>
        <v>0</v>
      </c>
      <c r="D121">
        <f>D120+(L120*'Input data'!$B$24)</f>
        <v>-37.183312301157464</v>
      </c>
      <c r="E121">
        <f>IF('Input data'!$B$13=2,'Input data'!$B$25*((0.1036*LN(ABS(P120+1)))+0.8731),IF('Input data'!$B$13=3,'Input data'!$B$25*((0.139*LN(ABS(P120+1)))+0.7503),'Input data'!$B$25))</f>
        <v>5.178030619769233</v>
      </c>
      <c r="F121">
        <f>E121*COS(RADIANS('Input data'!$B$10))</f>
        <v>5.178030619769233</v>
      </c>
      <c r="G121">
        <f>E121*SIN(RADIANS('Input data'!$B$10))</f>
        <v>0</v>
      </c>
      <c r="H121">
        <f>1.22*EXP(-0.0001065*(P120+'Input data'!$B$12))</f>
        <v>1.2155334511506282</v>
      </c>
      <c r="I121">
        <f t="shared" si="16"/>
        <v>37.191844378860488</v>
      </c>
      <c r="J121">
        <f>-0.5*H121*I121*AK121*'Input data'!$B$19*(B121-F121)/AF121</f>
        <v>-0.17526870576103043</v>
      </c>
      <c r="K121">
        <f>-0.5*H121*I121*AK121*'Input data'!$B$19*(C121-G121)/AF121</f>
        <v>0</v>
      </c>
      <c r="L121">
        <f>(-0.5*H121*AK121*I121*'Input data'!$B$19*D121/AF121)-'Input data'!$B$23</f>
        <v>-1.6239112094649801</v>
      </c>
      <c r="M121">
        <f>IF(AF121&gt;0,IF(P120&lt;=Param_1,M120,M120+(B122*'Input data'!$B$24)),M120)</f>
        <v>75.345578260101732</v>
      </c>
      <c r="N121">
        <f>IF(AF121&gt;0,IF(P120&lt;=Param_1,N120,N120+(C122*'Input data'!$B$24)),N120)</f>
        <v>0</v>
      </c>
      <c r="O121">
        <f t="shared" si="15"/>
        <v>0</v>
      </c>
      <c r="P121">
        <f>IF(P120&lt;=-100000,0,IF(AF121&gt;0,IF(P120&lt;Param_1,P120,P120+(D122*'Input data'!$B$24)),P120))</f>
        <v>30.705090351611403</v>
      </c>
      <c r="Q121">
        <f t="shared" si="17"/>
        <v>75.345578260101732</v>
      </c>
      <c r="T121">
        <f t="shared" si="18"/>
        <v>75.345578260101732</v>
      </c>
      <c r="U121">
        <f t="shared" si="19"/>
        <v>0</v>
      </c>
      <c r="V121" s="74">
        <f>IF(X121=0,'Input data'!$Q$22,Q121)</f>
        <v>75.345578260101732</v>
      </c>
      <c r="W121" s="74">
        <f>IF(U121=0,'Input data'!$Q$23,U121)</f>
        <v>0</v>
      </c>
      <c r="X121" s="74">
        <f t="shared" si="25"/>
        <v>30.705090351611403</v>
      </c>
      <c r="Y121">
        <f>IF(P120&lt;Param_1,Y120,A122*'Input data'!$B$25*SIN(RADIANS('Input data'!$B$10)))</f>
        <v>0</v>
      </c>
      <c r="Z121">
        <f>IF(P120&lt;Param_1,Z120,A122*'Input data'!$B$25*COS(RADIANS('Input data'!$B$10)))</f>
        <v>47.916666666666565</v>
      </c>
      <c r="AA121">
        <f t="shared" si="23"/>
        <v>11.499999999999975</v>
      </c>
      <c r="AB121">
        <f t="shared" si="24"/>
        <v>5.1999999999999975</v>
      </c>
      <c r="AC121">
        <f>IF(ROUND(A121*10,3)='Input data'!$B$14*10,M121,0)</f>
        <v>0</v>
      </c>
      <c r="AD121">
        <f>IF(ROUND(A121*10,3)='Input data'!$B$14*10,N121,0)</f>
        <v>0</v>
      </c>
      <c r="AE121">
        <f>IF(ROUND(A121*10,3)='Input data'!$B$14*10,P121,0)</f>
        <v>0</v>
      </c>
      <c r="AF121">
        <f>IF('Input data'!$B$26="C",IF((3.14159265*1860/4)*((0.001*'Input data'!$B$20)-(2*'Input data'!$B$28*A121))^2*((0.33333*0.001*'Input data'!$B$20)-(2*'Input data'!$B$28*A121))&lt;0,(3.14159265*1860/4)*((0.001*'Input data'!$B$20)-(2*'Input data'!$B$28*A121))^2*((0.33333*0.001*'Input data'!$B$20)-(2*'Input data'!$B$28*A121)),(3.14159265*1860/4)*((0.001*'Input data'!$B$20)-(2*'Input data'!$B$28*A121))^2*((0.33333*0.001*'Input data'!$B$20)-(2*'Input data'!$B$28*A121))),'Input data'!$B$21)</f>
        <v>0.40680208090393727</v>
      </c>
      <c r="AG121">
        <f t="shared" si="20"/>
        <v>0</v>
      </c>
      <c r="AH121">
        <f t="shared" si="21"/>
        <v>0</v>
      </c>
      <c r="AI121">
        <f t="shared" si="26"/>
        <v>0</v>
      </c>
      <c r="AJ121">
        <f t="shared" si="22"/>
        <v>3000</v>
      </c>
      <c r="AK121">
        <f>IF('Input data'!$B$26="S",'Input data'!$B$22,3.1415*(('Input data'!$B$20*0.0005)-('Input data'!$B$28*A121))^2)</f>
        <v>7.8539816250000026E-3</v>
      </c>
    </row>
    <row r="122" spans="1:37" x14ac:dyDescent="0.2">
      <c r="A122" s="9">
        <f>A121+'Input data'!$B$24</f>
        <v>11.499999999999975</v>
      </c>
      <c r="B122">
        <f>B121+(J121*'Input data'!$B$24)</f>
        <v>5.957105667323134</v>
      </c>
      <c r="C122">
        <f>C121+(K121*'Input data'!$B$24)</f>
        <v>0</v>
      </c>
      <c r="D122">
        <f>D121+(L121*'Input data'!$B$24)</f>
        <v>-37.345703422103959</v>
      </c>
      <c r="E122">
        <f>IF('Input data'!$B$13=2,'Input data'!$B$25*((0.1036*LN(ABS(P121+1)))+0.8731),IF('Input data'!$B$13=3,'Input data'!$B$25*((0.139*LN(ABS(P121+1)))+0.7503),'Input data'!$B$25))</f>
        <v>5.1299626782481917</v>
      </c>
      <c r="F122">
        <f>E122*COS(RADIANS('Input data'!$B$10))</f>
        <v>5.1299626782481917</v>
      </c>
      <c r="G122">
        <f>E122*SIN(RADIANS('Input data'!$B$10))</f>
        <v>0</v>
      </c>
      <c r="H122">
        <f>1.22*EXP(-0.0001065*(P121+'Input data'!$B$12))</f>
        <v>1.2160170035426325</v>
      </c>
      <c r="I122">
        <f t="shared" si="16"/>
        <v>37.354862195116226</v>
      </c>
      <c r="J122">
        <f>-0.5*H122*I122*AK122*'Input data'!$B$19*(B122-F122)/AF122</f>
        <v>-0.18285876413077606</v>
      </c>
      <c r="K122">
        <f>-0.5*H122*I122*AK122*'Input data'!$B$19*(C122-G122)/AF122</f>
        <v>0</v>
      </c>
      <c r="L122">
        <f>(-0.5*H122*AK122*I122*'Input data'!$B$19*D122/AF122)-'Input data'!$B$23</f>
        <v>-1.548883145285668</v>
      </c>
      <c r="M122">
        <f>IF(AF122&gt;0,IF(P121&lt;=Param_1,M121,M121+(B123*'Input data'!$B$24)),M121)</f>
        <v>75.939460239192741</v>
      </c>
      <c r="N122">
        <f>IF(AF122&gt;0,IF(P121&lt;=Param_1,N121,N121+(C123*'Input data'!$B$24)),N121)</f>
        <v>0</v>
      </c>
      <c r="O122">
        <f t="shared" si="15"/>
        <v>0</v>
      </c>
      <c r="P122">
        <f>IF(P121&lt;=-100000,0,IF(AF122&gt;0,IF(P121&lt;Param_1,P121,P121+(D123*'Input data'!$B$24)),P121))</f>
        <v>26.95503117794815</v>
      </c>
      <c r="Q122">
        <f t="shared" si="17"/>
        <v>75.939460239192741</v>
      </c>
      <c r="T122">
        <f t="shared" si="18"/>
        <v>75.939460239192741</v>
      </c>
      <c r="U122">
        <f t="shared" si="19"/>
        <v>0</v>
      </c>
      <c r="V122" s="74">
        <f>IF(X122=0,'Input data'!$Q$22,Q122)</f>
        <v>75.939460239192741</v>
      </c>
      <c r="W122" s="74">
        <f>IF(U122=0,'Input data'!$Q$23,U122)</f>
        <v>0</v>
      </c>
      <c r="X122" s="74">
        <f t="shared" si="25"/>
        <v>26.95503117794815</v>
      </c>
      <c r="Y122">
        <f>IF(P121&lt;Param_1,Y121,A123*'Input data'!$B$25*SIN(RADIANS('Input data'!$B$10)))</f>
        <v>0</v>
      </c>
      <c r="Z122">
        <f>IF(P121&lt;Param_1,Z121,A123*'Input data'!$B$25*COS(RADIANS('Input data'!$B$10)))</f>
        <v>48.333333333333229</v>
      </c>
      <c r="AA122">
        <f t="shared" si="23"/>
        <v>11.599999999999975</v>
      </c>
      <c r="AB122">
        <f t="shared" si="24"/>
        <v>5.1999999999999975</v>
      </c>
      <c r="AC122">
        <f>IF(ROUND(A122*10,3)='Input data'!$B$14*10,M122,0)</f>
        <v>0</v>
      </c>
      <c r="AD122">
        <f>IF(ROUND(A122*10,3)='Input data'!$B$14*10,N122,0)</f>
        <v>0</v>
      </c>
      <c r="AE122">
        <f>IF(ROUND(A122*10,3)='Input data'!$B$14*10,P122,0)</f>
        <v>0</v>
      </c>
      <c r="AF122">
        <f>IF('Input data'!$B$26="C",IF((3.14159265*1860/4)*((0.001*'Input data'!$B$20)-(2*'Input data'!$B$28*A122))^2*((0.33333*0.001*'Input data'!$B$20)-(2*'Input data'!$B$28*A122))&lt;0,(3.14159265*1860/4)*((0.001*'Input data'!$B$20)-(2*'Input data'!$B$28*A122))^2*((0.33333*0.001*'Input data'!$B$20)-(2*'Input data'!$B$28*A122)),(3.14159265*1860/4)*((0.001*'Input data'!$B$20)-(2*'Input data'!$B$28*A122))^2*((0.33333*0.001*'Input data'!$B$20)-(2*'Input data'!$B$28*A122))),'Input data'!$B$21)</f>
        <v>0.40680208090393727</v>
      </c>
      <c r="AG122">
        <f t="shared" si="20"/>
        <v>0</v>
      </c>
      <c r="AH122">
        <f t="shared" si="21"/>
        <v>0</v>
      </c>
      <c r="AI122">
        <f t="shared" si="26"/>
        <v>0</v>
      </c>
      <c r="AJ122">
        <f t="shared" si="22"/>
        <v>3000</v>
      </c>
      <c r="AK122">
        <f>IF('Input data'!$B$26="S",'Input data'!$B$22,3.1415*(('Input data'!$B$20*0.0005)-('Input data'!$B$28*A122))^2)</f>
        <v>7.8539816250000026E-3</v>
      </c>
    </row>
    <row r="123" spans="1:37" x14ac:dyDescent="0.2">
      <c r="A123" s="9">
        <f>A122+'Input data'!$B$24</f>
        <v>11.599999999999975</v>
      </c>
      <c r="B123">
        <f>B122+(J122*'Input data'!$B$24)</f>
        <v>5.9388197909100562</v>
      </c>
      <c r="C123">
        <f>C122+(K122*'Input data'!$B$24)</f>
        <v>0</v>
      </c>
      <c r="D123">
        <f>D122+(L122*'Input data'!$B$24)</f>
        <v>-37.500591736632529</v>
      </c>
      <c r="E123">
        <f>IF('Input data'!$B$13=2,'Input data'!$B$25*((0.1036*LN(ABS(P122+1)))+0.8731),IF('Input data'!$B$13=3,'Input data'!$B$25*((0.139*LN(ABS(P122+1)))+0.7503),'Input data'!$B$25))</f>
        <v>5.0756244535834316</v>
      </c>
      <c r="F123">
        <f>E123*COS(RADIANS('Input data'!$B$10))</f>
        <v>5.0756244535834316</v>
      </c>
      <c r="G123">
        <f>E123*SIN(RADIANS('Input data'!$B$10))</f>
        <v>0</v>
      </c>
      <c r="H123">
        <f>1.22*EXP(-0.0001065*(P122+'Input data'!$B$12))</f>
        <v>1.2165027549903218</v>
      </c>
      <c r="I123">
        <f t="shared" si="16"/>
        <v>37.510525013494203</v>
      </c>
      <c r="J123">
        <f>-0.5*H123*I123*AK123*'Input data'!$B$19*(B123-F123)/AF123</f>
        <v>-0.19170071216169049</v>
      </c>
      <c r="K123">
        <f>-0.5*H123*I123*AK123*'Input data'!$B$19*(C123-G123)/AF123</f>
        <v>0</v>
      </c>
      <c r="L123">
        <f>(-0.5*H123*AK123*I123*'Input data'!$B$19*D123/AF123)-'Input data'!$B$23</f>
        <v>-1.476769028941062</v>
      </c>
      <c r="M123">
        <f>IF(AF123&gt;0,IF(P122&lt;=Param_1,M122,M122+(B124*'Input data'!$B$24)),M122)</f>
        <v>76.53142521116213</v>
      </c>
      <c r="N123">
        <f>IF(AF123&gt;0,IF(P122&lt;=Param_1,N122,N122+(C124*'Input data'!$B$24)),N122)</f>
        <v>0</v>
      </c>
      <c r="O123">
        <f t="shared" si="15"/>
        <v>0</v>
      </c>
      <c r="P123">
        <f>IF(P122&lt;=-100000,0,IF(AF123&gt;0,IF(P122&lt;Param_1,P122,P122+(D124*'Input data'!$B$24)),P122))</f>
        <v>23.190204313995487</v>
      </c>
      <c r="Q123">
        <f t="shared" si="17"/>
        <v>76.53142521116213</v>
      </c>
      <c r="T123">
        <f t="shared" si="18"/>
        <v>76.53142521116213</v>
      </c>
      <c r="U123">
        <f t="shared" si="19"/>
        <v>0</v>
      </c>
      <c r="V123" s="74">
        <f>IF(X123=0,'Input data'!$Q$22,Q123)</f>
        <v>76.53142521116213</v>
      </c>
      <c r="W123" s="74">
        <f>IF(U123=0,'Input data'!$Q$23,U123)</f>
        <v>0</v>
      </c>
      <c r="X123" s="74">
        <f t="shared" si="25"/>
        <v>23.190204313995487</v>
      </c>
      <c r="Y123">
        <f>IF(P122&lt;Param_1,Y122,A124*'Input data'!$B$25*SIN(RADIANS('Input data'!$B$10)))</f>
        <v>0</v>
      </c>
      <c r="Z123">
        <f>IF(P122&lt;Param_1,Z122,A124*'Input data'!$B$25*COS(RADIANS('Input data'!$B$10)))</f>
        <v>48.749999999999893</v>
      </c>
      <c r="AA123">
        <f t="shared" si="23"/>
        <v>11.699999999999974</v>
      </c>
      <c r="AB123">
        <f t="shared" si="24"/>
        <v>5.1999999999999975</v>
      </c>
      <c r="AC123">
        <f>IF(ROUND(A123*10,3)='Input data'!$B$14*10,M123,0)</f>
        <v>0</v>
      </c>
      <c r="AD123">
        <f>IF(ROUND(A123*10,3)='Input data'!$B$14*10,N123,0)</f>
        <v>0</v>
      </c>
      <c r="AE123">
        <f>IF(ROUND(A123*10,3)='Input data'!$B$14*10,P123,0)</f>
        <v>0</v>
      </c>
      <c r="AF123">
        <f>IF('Input data'!$B$26="C",IF((3.14159265*1860/4)*((0.001*'Input data'!$B$20)-(2*'Input data'!$B$28*A123))^2*((0.33333*0.001*'Input data'!$B$20)-(2*'Input data'!$B$28*A123))&lt;0,(3.14159265*1860/4)*((0.001*'Input data'!$B$20)-(2*'Input data'!$B$28*A123))^2*((0.33333*0.001*'Input data'!$B$20)-(2*'Input data'!$B$28*A123)),(3.14159265*1860/4)*((0.001*'Input data'!$B$20)-(2*'Input data'!$B$28*A123))^2*((0.33333*0.001*'Input data'!$B$20)-(2*'Input data'!$B$28*A123))),'Input data'!$B$21)</f>
        <v>0.40680208090393727</v>
      </c>
      <c r="AG123">
        <f t="shared" si="20"/>
        <v>0</v>
      </c>
      <c r="AH123">
        <f t="shared" si="21"/>
        <v>0</v>
      </c>
      <c r="AI123">
        <f t="shared" si="26"/>
        <v>0</v>
      </c>
      <c r="AJ123">
        <f t="shared" si="22"/>
        <v>3000</v>
      </c>
      <c r="AK123">
        <f>IF('Input data'!$B$26="S",'Input data'!$B$22,3.1415*(('Input data'!$B$20*0.0005)-('Input data'!$B$28*A123))^2)</f>
        <v>7.8539816250000026E-3</v>
      </c>
    </row>
    <row r="124" spans="1:37" x14ac:dyDescent="0.2">
      <c r="A124" s="9">
        <f>A123+'Input data'!$B$24</f>
        <v>11.699999999999974</v>
      </c>
      <c r="B124">
        <f>B123+(J123*'Input data'!$B$24)</f>
        <v>5.9196497196938873</v>
      </c>
      <c r="C124">
        <f>C123+(K123*'Input data'!$B$24)</f>
        <v>0</v>
      </c>
      <c r="D124">
        <f>D123+(L123*'Input data'!$B$24)</f>
        <v>-37.648268639526634</v>
      </c>
      <c r="E124">
        <f>IF('Input data'!$B$13=2,'Input data'!$B$25*((0.1036*LN(ABS(P123+1)))+0.8731),IF('Input data'!$B$13=3,'Input data'!$B$25*((0.139*LN(ABS(P123+1)))+0.7503),'Input data'!$B$25))</f>
        <v>5.0131841210635226</v>
      </c>
      <c r="F124">
        <f>E124*COS(RADIANS('Input data'!$B$10))</f>
        <v>5.0131841210635226</v>
      </c>
      <c r="G124">
        <f>E124*SIN(RADIANS('Input data'!$B$10))</f>
        <v>0</v>
      </c>
      <c r="H124">
        <f>1.22*EXP(-0.0001065*(P123+'Input data'!$B$12))</f>
        <v>1.2169906145082576</v>
      </c>
      <c r="I124">
        <f t="shared" si="16"/>
        <v>37.659179643686677</v>
      </c>
      <c r="J124">
        <f>-0.5*H124*I124*AK124*'Input data'!$B$19*(B124-F124)/AF124</f>
        <v>-0.20218913388966153</v>
      </c>
      <c r="K124">
        <f>-0.5*H124*I124*AK124*'Input data'!$B$19*(C124-G124)/AF124</f>
        <v>0</v>
      </c>
      <c r="L124">
        <f>(-0.5*H124*AK124*I124*'Input data'!$B$19*D124/AF124)-'Input data'!$B$23</f>
        <v>-1.4074713566926906</v>
      </c>
      <c r="M124">
        <f>IF(AF124&gt;0,IF(P123&lt;=Param_1,M123,M123+(B125*'Input data'!$B$24)),M123)</f>
        <v>77.121368291792621</v>
      </c>
      <c r="N124">
        <f>IF(AF124&gt;0,IF(P123&lt;=Param_1,N123,N123+(C125*'Input data'!$B$24)),N123)</f>
        <v>0</v>
      </c>
      <c r="O124">
        <f t="shared" si="15"/>
        <v>0</v>
      </c>
      <c r="P124">
        <f>IF(P123&lt;=-100000,0,IF(AF124&gt;0,IF(P123&lt;Param_1,P123,P123+(D125*'Input data'!$B$24)),P123))</f>
        <v>19.411302736475896</v>
      </c>
      <c r="Q124">
        <f t="shared" si="17"/>
        <v>77.121368291792621</v>
      </c>
      <c r="T124">
        <f t="shared" si="18"/>
        <v>77.121368291792621</v>
      </c>
      <c r="U124">
        <f t="shared" si="19"/>
        <v>0</v>
      </c>
      <c r="V124" s="74">
        <f>IF(X124=0,'Input data'!$Q$22,Q124)</f>
        <v>77.121368291792621</v>
      </c>
      <c r="W124" s="74">
        <f>IF(U124=0,'Input data'!$Q$23,U124)</f>
        <v>0</v>
      </c>
      <c r="X124" s="74">
        <f t="shared" si="25"/>
        <v>19.411302736475896</v>
      </c>
      <c r="Y124">
        <f>IF(P123&lt;Param_1,Y123,A125*'Input data'!$B$25*SIN(RADIANS('Input data'!$B$10)))</f>
        <v>0</v>
      </c>
      <c r="Z124">
        <f>IF(P123&lt;Param_1,Z123,A125*'Input data'!$B$25*COS(RADIANS('Input data'!$B$10)))</f>
        <v>49.166666666666565</v>
      </c>
      <c r="AA124">
        <f t="shared" si="23"/>
        <v>11.799999999999974</v>
      </c>
      <c r="AB124">
        <f t="shared" si="24"/>
        <v>5.1999999999999975</v>
      </c>
      <c r="AC124">
        <f>IF(ROUND(A124*10,3)='Input data'!$B$14*10,M124,0)</f>
        <v>0</v>
      </c>
      <c r="AD124">
        <f>IF(ROUND(A124*10,3)='Input data'!$B$14*10,N124,0)</f>
        <v>0</v>
      </c>
      <c r="AE124">
        <f>IF(ROUND(A124*10,3)='Input data'!$B$14*10,P124,0)</f>
        <v>0</v>
      </c>
      <c r="AF124">
        <f>IF('Input data'!$B$26="C",IF((3.14159265*1860/4)*((0.001*'Input data'!$B$20)-(2*'Input data'!$B$28*A124))^2*((0.33333*0.001*'Input data'!$B$20)-(2*'Input data'!$B$28*A124))&lt;0,(3.14159265*1860/4)*((0.001*'Input data'!$B$20)-(2*'Input data'!$B$28*A124))^2*((0.33333*0.001*'Input data'!$B$20)-(2*'Input data'!$B$28*A124)),(3.14159265*1860/4)*((0.001*'Input data'!$B$20)-(2*'Input data'!$B$28*A124))^2*((0.33333*0.001*'Input data'!$B$20)-(2*'Input data'!$B$28*A124))),'Input data'!$B$21)</f>
        <v>0.40680208090393727</v>
      </c>
      <c r="AG124">
        <f t="shared" si="20"/>
        <v>0</v>
      </c>
      <c r="AH124">
        <f t="shared" si="21"/>
        <v>0</v>
      </c>
      <c r="AI124">
        <f t="shared" si="26"/>
        <v>0</v>
      </c>
      <c r="AJ124">
        <f t="shared" si="22"/>
        <v>3000</v>
      </c>
      <c r="AK124">
        <f>IF('Input data'!$B$26="S",'Input data'!$B$22,3.1415*(('Input data'!$B$20*0.0005)-('Input data'!$B$28*A124))^2)</f>
        <v>7.8539816250000026E-3</v>
      </c>
    </row>
    <row r="125" spans="1:37" x14ac:dyDescent="0.2">
      <c r="A125" s="9">
        <f>A124+'Input data'!$B$24</f>
        <v>11.799999999999974</v>
      </c>
      <c r="B125">
        <f>B124+(J124*'Input data'!$B$24)</f>
        <v>5.8994308063049212</v>
      </c>
      <c r="C125">
        <f>C124+(K124*'Input data'!$B$24)</f>
        <v>0</v>
      </c>
      <c r="D125">
        <f>D124+(L124*'Input data'!$B$24)</f>
        <v>-37.789015775195907</v>
      </c>
      <c r="E125">
        <f>IF('Input data'!$B$13=2,'Input data'!$B$25*((0.1036*LN(ABS(P124+1)))+0.8731),IF('Input data'!$B$13=3,'Input data'!$B$25*((0.139*LN(ABS(P124+1)))+0.7503),'Input data'!$B$25))</f>
        <v>4.939861666683405</v>
      </c>
      <c r="F125">
        <f>E125*COS(RADIANS('Input data'!$B$10))</f>
        <v>4.939861666683405</v>
      </c>
      <c r="G125">
        <f>E125*SIN(RADIANS('Input data'!$B$10))</f>
        <v>0</v>
      </c>
      <c r="H125">
        <f>1.22*EXP(-0.0001065*(P124+'Input data'!$B$12))</f>
        <v>1.2174804946242048</v>
      </c>
      <c r="I125">
        <f t="shared" si="16"/>
        <v>37.801196888348912</v>
      </c>
      <c r="J125">
        <f>-0.5*H125*I125*AK125*'Input data'!$B$19*(B125-F125)/AF125</f>
        <v>-0.21492762333964591</v>
      </c>
      <c r="K125">
        <f>-0.5*H125*I125*AK125*'Input data'!$B$19*(C125-G125)/AF125</f>
        <v>0</v>
      </c>
      <c r="L125">
        <f>(-0.5*H125*AK125*I125*'Input data'!$B$19*D125/AF125)-'Input data'!$B$23</f>
        <v>-1.340885207697724</v>
      </c>
      <c r="M125">
        <f>IF(AF125&gt;0,IF(P124&lt;=Param_1,M124,M124+(B126*'Input data'!$B$24)),M124)</f>
        <v>77.709162096189715</v>
      </c>
      <c r="N125">
        <f>IF(AF125&gt;0,IF(P124&lt;=Param_1,N124,N124+(C126*'Input data'!$B$24)),N124)</f>
        <v>0</v>
      </c>
      <c r="O125">
        <f t="shared" si="15"/>
        <v>0</v>
      </c>
      <c r="P125">
        <f>IF(P124&lt;=-100000,0,IF(AF125&gt;0,IF(P124&lt;Param_1,P124,P124+(D126*'Input data'!$B$24)),P124))</f>
        <v>15.618992306879328</v>
      </c>
      <c r="Q125">
        <f t="shared" si="17"/>
        <v>77.709162096189715</v>
      </c>
      <c r="T125">
        <f t="shared" si="18"/>
        <v>77.709162096189715</v>
      </c>
      <c r="U125">
        <f t="shared" si="19"/>
        <v>0</v>
      </c>
      <c r="V125" s="74">
        <f>IF(X125=0,'Input data'!$Q$22,Q125)</f>
        <v>77.709162096189715</v>
      </c>
      <c r="W125" s="74">
        <f>IF(U125=0,'Input data'!$Q$23,U125)</f>
        <v>0</v>
      </c>
      <c r="X125" s="74">
        <f t="shared" si="25"/>
        <v>15.618992306879328</v>
      </c>
      <c r="Y125">
        <f>IF(P124&lt;Param_1,Y124,A126*'Input data'!$B$25*SIN(RADIANS('Input data'!$B$10)))</f>
        <v>0</v>
      </c>
      <c r="Z125">
        <f>IF(P124&lt;Param_1,Z124,A126*'Input data'!$B$25*COS(RADIANS('Input data'!$B$10)))</f>
        <v>49.583333333333229</v>
      </c>
      <c r="AA125">
        <f t="shared" si="23"/>
        <v>11.899999999999974</v>
      </c>
      <c r="AB125">
        <f t="shared" si="24"/>
        <v>5.1999999999999975</v>
      </c>
      <c r="AC125">
        <f>IF(ROUND(A125*10,3)='Input data'!$B$14*10,M125,0)</f>
        <v>0</v>
      </c>
      <c r="AD125">
        <f>IF(ROUND(A125*10,3)='Input data'!$B$14*10,N125,0)</f>
        <v>0</v>
      </c>
      <c r="AE125">
        <f>IF(ROUND(A125*10,3)='Input data'!$B$14*10,P125,0)</f>
        <v>0</v>
      </c>
      <c r="AF125">
        <f>IF('Input data'!$B$26="C",IF((3.14159265*1860/4)*((0.001*'Input data'!$B$20)-(2*'Input data'!$B$28*A125))^2*((0.33333*0.001*'Input data'!$B$20)-(2*'Input data'!$B$28*A125))&lt;0,(3.14159265*1860/4)*((0.001*'Input data'!$B$20)-(2*'Input data'!$B$28*A125))^2*((0.33333*0.001*'Input data'!$B$20)-(2*'Input data'!$B$28*A125)),(3.14159265*1860/4)*((0.001*'Input data'!$B$20)-(2*'Input data'!$B$28*A125))^2*((0.33333*0.001*'Input data'!$B$20)-(2*'Input data'!$B$28*A125))),'Input data'!$B$21)</f>
        <v>0.40680208090393727</v>
      </c>
      <c r="AG125">
        <f t="shared" si="20"/>
        <v>0</v>
      </c>
      <c r="AH125">
        <f t="shared" si="21"/>
        <v>0</v>
      </c>
      <c r="AI125">
        <f t="shared" si="26"/>
        <v>0</v>
      </c>
      <c r="AJ125">
        <f t="shared" si="22"/>
        <v>3000</v>
      </c>
      <c r="AK125">
        <f>IF('Input data'!$B$26="S",'Input data'!$B$22,3.1415*(('Input data'!$B$20*0.0005)-('Input data'!$B$28*A125))^2)</f>
        <v>7.8539816250000026E-3</v>
      </c>
    </row>
    <row r="126" spans="1:37" x14ac:dyDescent="0.2">
      <c r="A126" s="9">
        <f>A125+'Input data'!$B$24</f>
        <v>11.899999999999974</v>
      </c>
      <c r="B126">
        <f>B125+(J125*'Input data'!$B$24)</f>
        <v>5.877938043970957</v>
      </c>
      <c r="C126">
        <f>C125+(K125*'Input data'!$B$24)</f>
        <v>0</v>
      </c>
      <c r="D126">
        <f>D125+(L125*'Input data'!$B$24)</f>
        <v>-37.923104295965679</v>
      </c>
      <c r="E126">
        <f>IF('Input data'!$B$13=2,'Input data'!$B$25*((0.1036*LN(ABS(P125+1)))+0.8731),IF('Input data'!$B$13=3,'Input data'!$B$25*((0.139*LN(ABS(P125+1)))+0.7503),'Input data'!$B$25))</f>
        <v>4.8511357574410594</v>
      </c>
      <c r="F126">
        <f>E126*COS(RADIANS('Input data'!$B$10))</f>
        <v>4.8511357574410594</v>
      </c>
      <c r="G126">
        <f>E126*SIN(RADIANS('Input data'!$B$10))</f>
        <v>0</v>
      </c>
      <c r="H126">
        <f>1.22*EXP(-0.0001065*(P125+'Input data'!$B$12))</f>
        <v>1.2179723112488432</v>
      </c>
      <c r="I126">
        <f t="shared" si="16"/>
        <v>37.937002548676844</v>
      </c>
      <c r="J126">
        <f>-0.5*H126*I126*AK126*'Input data'!$B$19*(B126-F126)/AF126</f>
        <v>-0.23090623347291303</v>
      </c>
      <c r="K126">
        <f>-0.5*H126*I126*AK126*'Input data'!$B$19*(C126-G126)/AF126</f>
        <v>0</v>
      </c>
      <c r="L126">
        <f>(-0.5*H126*AK126*I126*'Input data'!$B$19*D126/AF126)-'Input data'!$B$23</f>
        <v>-1.2768916295216943</v>
      </c>
      <c r="M126">
        <f>IF(AF126&gt;0,IF(P125&lt;=Param_1,M125,M125+(B127*'Input data'!$B$24)),M125)</f>
        <v>78.294646838252078</v>
      </c>
      <c r="N126">
        <f>IF(AF126&gt;0,IF(P125&lt;=Param_1,N125,N125+(C127*'Input data'!$B$24)),N125)</f>
        <v>0</v>
      </c>
      <c r="O126">
        <f t="shared" si="15"/>
        <v>0</v>
      </c>
      <c r="P126">
        <f>IF(P125&lt;=-100000,0,IF(AF126&gt;0,IF(P125&lt;Param_1,P125,P125+(D127*'Input data'!$B$24)),P125))</f>
        <v>11.813912960987542</v>
      </c>
      <c r="Q126">
        <f t="shared" si="17"/>
        <v>78.294646838252078</v>
      </c>
      <c r="T126">
        <f t="shared" si="18"/>
        <v>78.294646838252078</v>
      </c>
      <c r="U126">
        <f t="shared" si="19"/>
        <v>0</v>
      </c>
      <c r="V126" s="74">
        <f>IF(X126=0,'Input data'!$Q$22,Q126)</f>
        <v>78.294646838252078</v>
      </c>
      <c r="W126" s="74">
        <f>IF(U126=0,'Input data'!$Q$23,U126)</f>
        <v>0</v>
      </c>
      <c r="X126" s="74">
        <f t="shared" si="25"/>
        <v>11.813912960987542</v>
      </c>
      <c r="Y126">
        <f>IF(P125&lt;Param_1,Y125,A127*'Input data'!$B$25*SIN(RADIANS('Input data'!$B$10)))</f>
        <v>0</v>
      </c>
      <c r="Z126">
        <f>IF(P125&lt;Param_1,Z125,A127*'Input data'!$B$25*COS(RADIANS('Input data'!$B$10)))</f>
        <v>49.999999999999893</v>
      </c>
      <c r="AA126">
        <f t="shared" si="23"/>
        <v>11.999999999999973</v>
      </c>
      <c r="AB126">
        <f t="shared" si="24"/>
        <v>5.1999999999999975</v>
      </c>
      <c r="AC126">
        <f>IF(ROUND(A126*10,3)='Input data'!$B$14*10,M126,0)</f>
        <v>0</v>
      </c>
      <c r="AD126">
        <f>IF(ROUND(A126*10,3)='Input data'!$B$14*10,N126,0)</f>
        <v>0</v>
      </c>
      <c r="AE126">
        <f>IF(ROUND(A126*10,3)='Input data'!$B$14*10,P126,0)</f>
        <v>0</v>
      </c>
      <c r="AF126">
        <f>IF('Input data'!$B$26="C",IF((3.14159265*1860/4)*((0.001*'Input data'!$B$20)-(2*'Input data'!$B$28*A126))^2*((0.33333*0.001*'Input data'!$B$20)-(2*'Input data'!$B$28*A126))&lt;0,(3.14159265*1860/4)*((0.001*'Input data'!$B$20)-(2*'Input data'!$B$28*A126))^2*((0.33333*0.001*'Input data'!$B$20)-(2*'Input data'!$B$28*A126)),(3.14159265*1860/4)*((0.001*'Input data'!$B$20)-(2*'Input data'!$B$28*A126))^2*((0.33333*0.001*'Input data'!$B$20)-(2*'Input data'!$B$28*A126))),'Input data'!$B$21)</f>
        <v>0.40680208090393727</v>
      </c>
      <c r="AG126">
        <f t="shared" si="20"/>
        <v>0</v>
      </c>
      <c r="AH126">
        <f t="shared" si="21"/>
        <v>0</v>
      </c>
      <c r="AI126">
        <f t="shared" si="26"/>
        <v>0</v>
      </c>
      <c r="AJ126">
        <f t="shared" si="22"/>
        <v>3000</v>
      </c>
      <c r="AK126">
        <f>IF('Input data'!$B$26="S",'Input data'!$B$22,3.1415*(('Input data'!$B$20*0.0005)-('Input data'!$B$28*A126))^2)</f>
        <v>7.8539816250000026E-3</v>
      </c>
    </row>
    <row r="127" spans="1:37" x14ac:dyDescent="0.2">
      <c r="A127" s="9">
        <f>A126+'Input data'!$B$24</f>
        <v>11.999999999999973</v>
      </c>
      <c r="B127">
        <f>B126+(J126*'Input data'!$B$24)</f>
        <v>5.854847420623666</v>
      </c>
      <c r="C127">
        <f>C126+(K126*'Input data'!$B$24)</f>
        <v>0</v>
      </c>
      <c r="D127">
        <f>D126+(L126*'Input data'!$B$24)</f>
        <v>-38.050793458917852</v>
      </c>
      <c r="E127">
        <f>IF('Input data'!$B$13=2,'Input data'!$B$25*((0.1036*LN(ABS(P126+1)))+0.8731),IF('Input data'!$B$13=3,'Input data'!$B$25*((0.139*LN(ABS(P126+1)))+0.7503),'Input data'!$B$25))</f>
        <v>4.738896110752254</v>
      </c>
      <c r="F127">
        <f>E127*COS(RADIANS('Input data'!$B$10))</f>
        <v>4.738896110752254</v>
      </c>
      <c r="G127">
        <f>E127*SIN(RADIANS('Input data'!$B$10))</f>
        <v>0</v>
      </c>
      <c r="H127">
        <f>1.22*EXP(-0.0001065*(P126+'Input data'!$B$12))</f>
        <v>1.2184659835270941</v>
      </c>
      <c r="I127">
        <f t="shared" si="16"/>
        <v>38.067154216978565</v>
      </c>
      <c r="J127">
        <f>-0.5*H127*I127*AK127*'Input data'!$B$19*(B127-F127)/AF127</f>
        <v>-0.25191699549380631</v>
      </c>
      <c r="K127">
        <f>-0.5*H127*I127*AK127*'Input data'!$B$19*(C127-G127)/AF127</f>
        <v>0</v>
      </c>
      <c r="L127">
        <f>(-0.5*H127*AK127*I127*'Input data'!$B$19*D127/AF127)-'Input data'!$B$23</f>
        <v>-1.2153406846392869</v>
      </c>
      <c r="M127">
        <f>IF(AF127&gt;0,IF(P126&lt;=Param_1,M126,M126+(B128*'Input data'!$B$24)),M126)</f>
        <v>78.877612410359504</v>
      </c>
      <c r="N127">
        <f>IF(AF127&gt;0,IF(P126&lt;=Param_1,N126,N126+(C128*'Input data'!$B$24)),N126)</f>
        <v>0</v>
      </c>
      <c r="O127">
        <f t="shared" si="15"/>
        <v>0</v>
      </c>
      <c r="P127">
        <f>IF(P126&lt;=-100000,0,IF(AF127&gt;0,IF(P126&lt;Param_1,P126,P126+(D128*'Input data'!$B$24)),P126))</f>
        <v>7.996680208249364</v>
      </c>
      <c r="Q127">
        <f t="shared" si="17"/>
        <v>78.877612410359504</v>
      </c>
      <c r="T127">
        <f t="shared" si="18"/>
        <v>78.877612410359504</v>
      </c>
      <c r="U127">
        <f t="shared" si="19"/>
        <v>0</v>
      </c>
      <c r="V127" s="74">
        <f>IF(X127=0,'Input data'!$Q$22,Q127)</f>
        <v>78.877612410359504</v>
      </c>
      <c r="W127" s="74">
        <f>IF(U127=0,'Input data'!$Q$23,U127)</f>
        <v>0</v>
      </c>
      <c r="X127" s="74">
        <f t="shared" si="25"/>
        <v>7.996680208249364</v>
      </c>
      <c r="Y127">
        <f>IF(P126&lt;Param_1,Y126,A128*'Input data'!$B$25*SIN(RADIANS('Input data'!$B$10)))</f>
        <v>0</v>
      </c>
      <c r="Z127">
        <f>IF(P126&lt;Param_1,Z126,A128*'Input data'!$B$25*COS(RADIANS('Input data'!$B$10)))</f>
        <v>50.416666666666558</v>
      </c>
      <c r="AA127">
        <f t="shared" si="23"/>
        <v>12.099999999999973</v>
      </c>
      <c r="AB127">
        <f t="shared" si="24"/>
        <v>5.1999999999999975</v>
      </c>
      <c r="AC127">
        <f>IF(ROUND(A127*10,3)='Input data'!$B$14*10,M127,0)</f>
        <v>0</v>
      </c>
      <c r="AD127">
        <f>IF(ROUND(A127*10,3)='Input data'!$B$14*10,N127,0)</f>
        <v>0</v>
      </c>
      <c r="AE127">
        <f>IF(ROUND(A127*10,3)='Input data'!$B$14*10,P127,0)</f>
        <v>0</v>
      </c>
      <c r="AF127">
        <f>IF('Input data'!$B$26="C",IF((3.14159265*1860/4)*((0.001*'Input data'!$B$20)-(2*'Input data'!$B$28*A127))^2*((0.33333*0.001*'Input data'!$B$20)-(2*'Input data'!$B$28*A127))&lt;0,(3.14159265*1860/4)*((0.001*'Input data'!$B$20)-(2*'Input data'!$B$28*A127))^2*((0.33333*0.001*'Input data'!$B$20)-(2*'Input data'!$B$28*A127)),(3.14159265*1860/4)*((0.001*'Input data'!$B$20)-(2*'Input data'!$B$28*A127))^2*((0.33333*0.001*'Input data'!$B$20)-(2*'Input data'!$B$28*A127))),'Input data'!$B$21)</f>
        <v>0.40680208090393727</v>
      </c>
      <c r="AG127">
        <f t="shared" si="20"/>
        <v>0</v>
      </c>
      <c r="AH127">
        <f t="shared" si="21"/>
        <v>0</v>
      </c>
      <c r="AI127">
        <f t="shared" si="26"/>
        <v>0</v>
      </c>
      <c r="AJ127">
        <f t="shared" si="22"/>
        <v>3000</v>
      </c>
      <c r="AK127">
        <f>IF('Input data'!$B$26="S",'Input data'!$B$22,3.1415*(('Input data'!$B$20*0.0005)-('Input data'!$B$28*A127))^2)</f>
        <v>7.8539816250000026E-3</v>
      </c>
    </row>
    <row r="128" spans="1:37" x14ac:dyDescent="0.2">
      <c r="A128" s="9">
        <f>A127+'Input data'!$B$24</f>
        <v>12.099999999999973</v>
      </c>
      <c r="B128">
        <f>B127+(J127*'Input data'!$B$24)</f>
        <v>5.8296557210742854</v>
      </c>
      <c r="C128">
        <f>C127+(K127*'Input data'!$B$24)</f>
        <v>0</v>
      </c>
      <c r="D128">
        <f>D127+(L127*'Input data'!$B$24)</f>
        <v>-38.172327527381782</v>
      </c>
      <c r="E128">
        <f>IF('Input data'!$B$13=2,'Input data'!$B$25*((0.1036*LN(ABS(P127+1)))+0.8731),IF('Input data'!$B$13=3,'Input data'!$B$25*((0.139*LN(ABS(P127+1)))+0.7503),'Input data'!$B$25))</f>
        <v>4.5862260194607618</v>
      </c>
      <c r="F128">
        <f>E128*COS(RADIANS('Input data'!$B$10))</f>
        <v>4.5862260194607618</v>
      </c>
      <c r="G128">
        <f>E128*SIN(RADIANS('Input data'!$B$10))</f>
        <v>0</v>
      </c>
      <c r="H128">
        <f>1.22*EXP(-0.0001065*(P127+'Input data'!$B$12))</f>
        <v>1.2189614336489838</v>
      </c>
      <c r="I128">
        <f t="shared" si="16"/>
        <v>38.192573967730475</v>
      </c>
      <c r="J128">
        <f>-0.5*H128*I128*AK128*'Input data'!$B$19*(B128-F128)/AF128</f>
        <v>-0.28173352669300411</v>
      </c>
      <c r="K128">
        <f>-0.5*H128*I128*AK128*'Input data'!$B$19*(C128-G128)/AF128</f>
        <v>0</v>
      </c>
      <c r="L128">
        <f>(-0.5*H128*AK128*I128*'Input data'!$B$19*D128/AF128)-'Input data'!$B$23</f>
        <v>-1.155999222220327</v>
      </c>
      <c r="M128">
        <f>IF(AF128&gt;0,IF(P127&lt;=Param_1,M127,M127+(B129*'Input data'!$B$24)),M127)</f>
        <v>79.457760647200004</v>
      </c>
      <c r="N128">
        <f>IF(AF128&gt;0,IF(P127&lt;=Param_1,N127,N127+(C129*'Input data'!$B$24)),N127)</f>
        <v>0</v>
      </c>
      <c r="O128">
        <f t="shared" si="15"/>
        <v>0</v>
      </c>
      <c r="P128">
        <f>IF(P127&lt;=-100000,0,IF(AF128&gt;0,IF(P127&lt;Param_1,P127,P127+(D129*'Input data'!$B$24)),P127))</f>
        <v>4.1678874632889826</v>
      </c>
      <c r="Q128">
        <f t="shared" si="17"/>
        <v>79.457760647200004</v>
      </c>
      <c r="T128">
        <f t="shared" si="18"/>
        <v>79.457760647200004</v>
      </c>
      <c r="U128">
        <f t="shared" si="19"/>
        <v>0</v>
      </c>
      <c r="V128" s="74">
        <f>IF(X128=0,'Input data'!$Q$22,Q128)</f>
        <v>79.457760647200004</v>
      </c>
      <c r="W128" s="74">
        <f>IF(U128=0,'Input data'!$Q$23,U128)</f>
        <v>0</v>
      </c>
      <c r="X128" s="74">
        <f t="shared" si="25"/>
        <v>4.1678874632889826</v>
      </c>
      <c r="Y128">
        <f>IF(P127&lt;Param_1,Y127,A129*'Input data'!$B$25*SIN(RADIANS('Input data'!$B$10)))</f>
        <v>0</v>
      </c>
      <c r="Z128">
        <f>IF(P127&lt;Param_1,Z127,A129*'Input data'!$B$25*COS(RADIANS('Input data'!$B$10)))</f>
        <v>50.833333333333222</v>
      </c>
      <c r="AA128">
        <f t="shared" si="23"/>
        <v>12.199999999999973</v>
      </c>
      <c r="AB128">
        <f t="shared" si="24"/>
        <v>5.1999999999999975</v>
      </c>
      <c r="AC128">
        <f>IF(ROUND(A128*10,3)='Input data'!$B$14*10,M128,0)</f>
        <v>0</v>
      </c>
      <c r="AD128">
        <f>IF(ROUND(A128*10,3)='Input data'!$B$14*10,N128,0)</f>
        <v>0</v>
      </c>
      <c r="AE128">
        <f>IF(ROUND(A128*10,3)='Input data'!$B$14*10,P128,0)</f>
        <v>0</v>
      </c>
      <c r="AF128">
        <f>IF('Input data'!$B$26="C",IF((3.14159265*1860/4)*((0.001*'Input data'!$B$20)-(2*'Input data'!$B$28*A128))^2*((0.33333*0.001*'Input data'!$B$20)-(2*'Input data'!$B$28*A128))&lt;0,(3.14159265*1860/4)*((0.001*'Input data'!$B$20)-(2*'Input data'!$B$28*A128))^2*((0.33333*0.001*'Input data'!$B$20)-(2*'Input data'!$B$28*A128)),(3.14159265*1860/4)*((0.001*'Input data'!$B$20)-(2*'Input data'!$B$28*A128))^2*((0.33333*0.001*'Input data'!$B$20)-(2*'Input data'!$B$28*A128))),'Input data'!$B$21)</f>
        <v>0.40680208090393727</v>
      </c>
      <c r="AG128">
        <f t="shared" si="20"/>
        <v>0</v>
      </c>
      <c r="AH128">
        <f t="shared" si="21"/>
        <v>0</v>
      </c>
      <c r="AI128">
        <f t="shared" si="26"/>
        <v>0</v>
      </c>
      <c r="AJ128">
        <f t="shared" si="22"/>
        <v>3000</v>
      </c>
      <c r="AK128">
        <f>IF('Input data'!$B$26="S",'Input data'!$B$22,3.1415*(('Input data'!$B$20*0.0005)-('Input data'!$B$28*A128))^2)</f>
        <v>7.8539816250000026E-3</v>
      </c>
    </row>
    <row r="129" spans="1:37" x14ac:dyDescent="0.2">
      <c r="A129" s="9">
        <f>A128+'Input data'!$B$24</f>
        <v>12.199999999999973</v>
      </c>
      <c r="B129">
        <f>B128+(J128*'Input data'!$B$24)</f>
        <v>5.8014823684049848</v>
      </c>
      <c r="C129">
        <f>C128+(K128*'Input data'!$B$24)</f>
        <v>0</v>
      </c>
      <c r="D129">
        <f>D128+(L128*'Input data'!$B$24)</f>
        <v>-38.287927449603814</v>
      </c>
      <c r="E129">
        <f>IF('Input data'!$B$13=2,'Input data'!$B$25*((0.1036*LN(ABS(P128+1)))+0.8731),IF('Input data'!$B$13=3,'Input data'!$B$25*((0.139*LN(ABS(P128+1)))+0.7503),'Input data'!$B$25))</f>
        <v>4.3469136225933864</v>
      </c>
      <c r="F129">
        <f>E129*COS(RADIANS('Input data'!$B$10))</f>
        <v>4.3469136225933864</v>
      </c>
      <c r="G129">
        <f>E129*SIN(RADIANS('Input data'!$B$10))</f>
        <v>0</v>
      </c>
      <c r="H129">
        <f>1.22*EXP(-0.0001065*(P128+'Input data'!$B$12))</f>
        <v>1.2194585865520891</v>
      </c>
      <c r="I129">
        <f t="shared" si="16"/>
        <v>38.31554721809956</v>
      </c>
      <c r="J129">
        <f>-0.5*H129*I129*AK129*'Input data'!$B$19*(B129-F129)/AF129</f>
        <v>-0.33076895494698977</v>
      </c>
      <c r="K129">
        <f>-0.5*H129*I129*AK129*'Input data'!$B$19*(C129-G129)/AF129</f>
        <v>0</v>
      </c>
      <c r="L129">
        <f>(-0.5*H129*AK129*I129*'Input data'!$B$19*D129/AF129)-'Input data'!$B$23</f>
        <v>-1.0983247149310262</v>
      </c>
      <c r="M129">
        <f>IF(AF129&gt;0,IF(P128&lt;=Param_1,M128,M128+(B130*'Input data'!$B$24)),M128)</f>
        <v>80.034601194491032</v>
      </c>
      <c r="N129">
        <f>IF(AF129&gt;0,IF(P128&lt;=Param_1,N128,N128+(C130*'Input data'!$B$24)),N128)</f>
        <v>0</v>
      </c>
      <c r="O129">
        <f t="shared" si="15"/>
        <v>0</v>
      </c>
      <c r="P129">
        <f>IF(P128&lt;=-100000,0,IF(AF129&gt;0,IF(P128&lt;Param_1,P128,P128+(D130*'Input data'!$B$24)),P128))</f>
        <v>0.32811147117929096</v>
      </c>
      <c r="Q129">
        <f t="shared" si="17"/>
        <v>80.034601194491032</v>
      </c>
      <c r="T129">
        <f t="shared" si="18"/>
        <v>80.034601194491032</v>
      </c>
      <c r="U129">
        <f t="shared" si="19"/>
        <v>0</v>
      </c>
      <c r="V129" s="74">
        <f>IF(X129=0,'Input data'!$Q$22,Q129)</f>
        <v>80.034601194491032</v>
      </c>
      <c r="W129" s="74">
        <f>IF(U129=0,'Input data'!$Q$23,U129)</f>
        <v>0</v>
      </c>
      <c r="X129" s="74">
        <f t="shared" si="25"/>
        <v>0.32811147117929096</v>
      </c>
      <c r="Y129">
        <f>IF(P128&lt;Param_1,Y128,A130*'Input data'!$B$25*SIN(RADIANS('Input data'!$B$10)))</f>
        <v>0</v>
      </c>
      <c r="Z129">
        <f>IF(P128&lt;Param_1,Z128,A130*'Input data'!$B$25*COS(RADIANS('Input data'!$B$10)))</f>
        <v>51.249999999999886</v>
      </c>
      <c r="AA129">
        <f t="shared" si="23"/>
        <v>12.299999999999972</v>
      </c>
      <c r="AB129">
        <f t="shared" si="24"/>
        <v>5.1999999999999975</v>
      </c>
      <c r="AC129">
        <f>IF(ROUND(A129*10,3)='Input data'!$B$14*10,M129,0)</f>
        <v>0</v>
      </c>
      <c r="AD129">
        <f>IF(ROUND(A129*10,3)='Input data'!$B$14*10,N129,0)</f>
        <v>0</v>
      </c>
      <c r="AE129">
        <f>IF(ROUND(A129*10,3)='Input data'!$B$14*10,P129,0)</f>
        <v>0</v>
      </c>
      <c r="AF129">
        <f>IF('Input data'!$B$26="C",IF((3.14159265*1860/4)*((0.001*'Input data'!$B$20)-(2*'Input data'!$B$28*A129))^2*((0.33333*0.001*'Input data'!$B$20)-(2*'Input data'!$B$28*A129))&lt;0,(3.14159265*1860/4)*((0.001*'Input data'!$B$20)-(2*'Input data'!$B$28*A129))^2*((0.33333*0.001*'Input data'!$B$20)-(2*'Input data'!$B$28*A129)),(3.14159265*1860/4)*((0.001*'Input data'!$B$20)-(2*'Input data'!$B$28*A129))^2*((0.33333*0.001*'Input data'!$B$20)-(2*'Input data'!$B$28*A129))),'Input data'!$B$21)</f>
        <v>0.40680208090393727</v>
      </c>
      <c r="AG129">
        <f t="shared" si="20"/>
        <v>0</v>
      </c>
      <c r="AH129">
        <f t="shared" si="21"/>
        <v>0</v>
      </c>
      <c r="AI129">
        <f t="shared" si="26"/>
        <v>0</v>
      </c>
      <c r="AJ129">
        <f t="shared" si="22"/>
        <v>3000</v>
      </c>
      <c r="AK129">
        <f>IF('Input data'!$B$26="S",'Input data'!$B$22,3.1415*(('Input data'!$B$20*0.0005)-('Input data'!$B$28*A129))^2)</f>
        <v>7.8539816250000026E-3</v>
      </c>
    </row>
    <row r="130" spans="1:37" x14ac:dyDescent="0.2">
      <c r="A130" s="9">
        <f>A129+'Input data'!$B$24</f>
        <v>12.299999999999972</v>
      </c>
      <c r="B130">
        <f>B129+(J129*'Input data'!$B$24)</f>
        <v>5.7684054729102856</v>
      </c>
      <c r="C130">
        <f>C129+(K129*'Input data'!$B$24)</f>
        <v>0</v>
      </c>
      <c r="D130">
        <f>D129+(L129*'Input data'!$B$24)</f>
        <v>-38.397759921096913</v>
      </c>
      <c r="E130">
        <f>IF('Input data'!$B$13=2,'Input data'!$B$25*((0.1036*LN(ABS(P129+1)))+0.8731),IF('Input data'!$B$13=3,'Input data'!$B$25*((0.139*LN(ABS(P129+1)))+0.7503),'Input data'!$B$25))</f>
        <v>3.7604055309136646</v>
      </c>
      <c r="F130">
        <f>E130*COS(RADIANS('Input data'!$B$10))</f>
        <v>3.7604055309136646</v>
      </c>
      <c r="G130">
        <f>E130*SIN(RADIANS('Input data'!$B$10))</f>
        <v>0</v>
      </c>
      <c r="H130">
        <f>1.22*EXP(-0.0001065*(P129+'Input data'!$B$12))</f>
        <v>1.2199573692213963</v>
      </c>
      <c r="I130">
        <f t="shared" si="16"/>
        <v>38.450227967142858</v>
      </c>
      <c r="J130">
        <f>-0.5*H130*I130*AK130*'Input data'!$B$19*(B130-F130)/AF130</f>
        <v>-0.45841167578858677</v>
      </c>
      <c r="K130">
        <f>-0.5*H130*I130*AK130*'Input data'!$B$19*(C130-G130)/AF130</f>
        <v>0</v>
      </c>
      <c r="L130">
        <f>(-0.5*H130*AK130*I130*'Input data'!$B$19*D130/AF130)-'Input data'!$B$23</f>
        <v>-1.0390727189186908</v>
      </c>
      <c r="M130">
        <f>IF(AF130&gt;0,IF(P129&lt;=Param_1,M129,M129+(B131*'Input data'!$B$24)),M129)</f>
        <v>80.606857625024176</v>
      </c>
      <c r="N130">
        <f>IF(AF130&gt;0,IF(P129&lt;=Param_1,N129,N129+(C131*'Input data'!$B$24)),N129)</f>
        <v>0</v>
      </c>
      <c r="O130">
        <f t="shared" si="15"/>
        <v>0</v>
      </c>
      <c r="P130">
        <f>IF(P129&lt;=-100000,0,IF(AF130&gt;0,IF(P129&lt;Param_1,P129,P129+(D131*'Input data'!$B$24)),P129))</f>
        <v>-3.5220552481195875</v>
      </c>
      <c r="Q130">
        <f t="shared" si="17"/>
        <v>80.606857625024176</v>
      </c>
      <c r="T130">
        <f t="shared" si="18"/>
        <v>0</v>
      </c>
      <c r="U130">
        <f t="shared" si="19"/>
        <v>0</v>
      </c>
      <c r="V130" s="74">
        <f>IF(X130=0,'Input data'!$Q$22,Q130)</f>
        <v>80.034601194491032</v>
      </c>
      <c r="W130" s="74">
        <f>IF(U130=0,'Input data'!$Q$23,U130)</f>
        <v>0</v>
      </c>
      <c r="X130" s="74">
        <f t="shared" si="25"/>
        <v>0</v>
      </c>
      <c r="Y130">
        <f>IF(P129&lt;Param_1,Y129,A131*'Input data'!$B$25*SIN(RADIANS('Input data'!$B$10)))</f>
        <v>0</v>
      </c>
      <c r="Z130">
        <f>IF(P129&lt;Param_1,Z129,A131*'Input data'!$B$25*COS(RADIANS('Input data'!$B$10)))</f>
        <v>51.666666666666551</v>
      </c>
      <c r="AA130">
        <f t="shared" si="23"/>
        <v>12.399999999999972</v>
      </c>
      <c r="AB130">
        <f t="shared" si="24"/>
        <v>5.1999999999999975</v>
      </c>
      <c r="AC130">
        <f>IF(ROUND(A130*10,3)='Input data'!$B$14*10,M130,0)</f>
        <v>0</v>
      </c>
      <c r="AD130">
        <f>IF(ROUND(A130*10,3)='Input data'!$B$14*10,N130,0)</f>
        <v>0</v>
      </c>
      <c r="AE130">
        <f>IF(ROUND(A130*10,3)='Input data'!$B$14*10,P130,0)</f>
        <v>0</v>
      </c>
      <c r="AF130">
        <f>IF('Input data'!$B$26="C",IF((3.14159265*1860/4)*((0.001*'Input data'!$B$20)-(2*'Input data'!$B$28*A130))^2*((0.33333*0.001*'Input data'!$B$20)-(2*'Input data'!$B$28*A130))&lt;0,(3.14159265*1860/4)*((0.001*'Input data'!$B$20)-(2*'Input data'!$B$28*A130))^2*((0.33333*0.001*'Input data'!$B$20)-(2*'Input data'!$B$28*A130)),(3.14159265*1860/4)*((0.001*'Input data'!$B$20)-(2*'Input data'!$B$28*A130))^2*((0.33333*0.001*'Input data'!$B$20)-(2*'Input data'!$B$28*A130))),'Input data'!$B$21)</f>
        <v>0.40680208090393727</v>
      </c>
      <c r="AG130">
        <f t="shared" si="20"/>
        <v>0</v>
      </c>
      <c r="AH130">
        <f t="shared" si="21"/>
        <v>0</v>
      </c>
      <c r="AI130">
        <f t="shared" si="26"/>
        <v>0</v>
      </c>
      <c r="AJ130">
        <f t="shared" si="22"/>
        <v>3000</v>
      </c>
      <c r="AK130">
        <f>IF('Input data'!$B$26="S",'Input data'!$B$22,3.1415*(('Input data'!$B$20*0.0005)-('Input data'!$B$28*A130))^2)</f>
        <v>7.8539816250000026E-3</v>
      </c>
    </row>
    <row r="131" spans="1:37" x14ac:dyDescent="0.2">
      <c r="A131" s="9">
        <f>A130+'Input data'!$B$24</f>
        <v>12.399999999999972</v>
      </c>
      <c r="B131">
        <f>B130+(J130*'Input data'!$B$24)</f>
        <v>5.722564305331427</v>
      </c>
      <c r="C131">
        <f>C130+(K130*'Input data'!$B$24)</f>
        <v>0</v>
      </c>
      <c r="D131">
        <f>D130+(L130*'Input data'!$B$24)</f>
        <v>-38.501667192988783</v>
      </c>
      <c r="E131">
        <f>IF('Input data'!$B$13=2,'Input data'!$B$25*((0.1036*LN(ABS(P130+1)))+0.8731),IF('Input data'!$B$13=3,'Input data'!$B$25*((0.139*LN(ABS(P130+1)))+0.7503),'Input data'!$B$25))</f>
        <v>4.0372403387289708</v>
      </c>
      <c r="F131">
        <f>E131*COS(RADIANS('Input data'!$B$10))</f>
        <v>4.0372403387289708</v>
      </c>
      <c r="G131">
        <f>E131*SIN(RADIANS('Input data'!$B$10))</f>
        <v>0</v>
      </c>
      <c r="H131">
        <f>1.22*EXP(-0.0001065*(P130+'Input data'!$B$12))</f>
        <v>1.2204577064756157</v>
      </c>
      <c r="I131">
        <f t="shared" si="16"/>
        <v>38.538535176003684</v>
      </c>
      <c r="J131">
        <f>-0.5*H131*I131*AK131*'Input data'!$B$19*(B131-F131)/AF131</f>
        <v>-0.38578890649868536</v>
      </c>
      <c r="K131">
        <f>-0.5*H131*I131*AK131*'Input data'!$B$19*(C131-G131)/AF131</f>
        <v>0</v>
      </c>
      <c r="L131">
        <f>(-0.5*H131*AK131*I131*'Input data'!$B$19*D131/AF131)-'Input data'!$B$23</f>
        <v>-0.9915514410837396</v>
      </c>
      <c r="M131">
        <f>IF(AF131&gt;0,IF(P130&lt;=Param_1,M130,M130+(B132*'Input data'!$B$24)),M130)</f>
        <v>81.175256166492332</v>
      </c>
      <c r="N131">
        <f>IF(AF131&gt;0,IF(P130&lt;=Param_1,N130,N130+(C132*'Input data'!$B$24)),N130)</f>
        <v>0</v>
      </c>
      <c r="O131">
        <f t="shared" si="15"/>
        <v>0</v>
      </c>
      <c r="P131">
        <f>IF(P130&lt;=-100000,0,IF(AF131&gt;0,IF(P130&lt;Param_1,P130,P130+(D132*'Input data'!$B$24)),P130))</f>
        <v>-7.3821374818293037</v>
      </c>
      <c r="Q131">
        <f t="shared" si="17"/>
        <v>81.175256166492332</v>
      </c>
      <c r="T131">
        <f t="shared" si="18"/>
        <v>0</v>
      </c>
      <c r="U131">
        <f t="shared" si="19"/>
        <v>0</v>
      </c>
      <c r="V131" s="74">
        <f>IF(X131=0,'Input data'!$Q$22,Q131)</f>
        <v>80.034601194491032</v>
      </c>
      <c r="W131" s="74">
        <f>IF(U131=0,'Input data'!$Q$23,U131)</f>
        <v>0</v>
      </c>
      <c r="X131" s="74">
        <f t="shared" si="25"/>
        <v>0</v>
      </c>
      <c r="Y131">
        <f>IF(P130&lt;Param_1,Y130,A132*'Input data'!$B$25*SIN(RADIANS('Input data'!$B$10)))</f>
        <v>0</v>
      </c>
      <c r="Z131">
        <f>IF(P130&lt;Param_1,Z130,A132*'Input data'!$B$25*COS(RADIANS('Input data'!$B$10)))</f>
        <v>52.083333333333222</v>
      </c>
      <c r="AA131">
        <f t="shared" si="23"/>
        <v>12.499999999999972</v>
      </c>
      <c r="AB131">
        <f t="shared" si="24"/>
        <v>5.1999999999999975</v>
      </c>
      <c r="AC131">
        <f>IF(ROUND(A131*10,3)='Input data'!$B$14*10,M131,0)</f>
        <v>0</v>
      </c>
      <c r="AD131">
        <f>IF(ROUND(A131*10,3)='Input data'!$B$14*10,N131,0)</f>
        <v>0</v>
      </c>
      <c r="AE131">
        <f>IF(ROUND(A131*10,3)='Input data'!$B$14*10,P131,0)</f>
        <v>0</v>
      </c>
      <c r="AF131">
        <f>IF('Input data'!$B$26="C",IF((3.14159265*1860/4)*((0.001*'Input data'!$B$20)-(2*'Input data'!$B$28*A131))^2*((0.33333*0.001*'Input data'!$B$20)-(2*'Input data'!$B$28*A131))&lt;0,(3.14159265*1860/4)*((0.001*'Input data'!$B$20)-(2*'Input data'!$B$28*A131))^2*((0.33333*0.001*'Input data'!$B$20)-(2*'Input data'!$B$28*A131)),(3.14159265*1860/4)*((0.001*'Input data'!$B$20)-(2*'Input data'!$B$28*A131))^2*((0.33333*0.001*'Input data'!$B$20)-(2*'Input data'!$B$28*A131))),'Input data'!$B$21)</f>
        <v>0.40680208090393727</v>
      </c>
      <c r="AG131">
        <f t="shared" si="20"/>
        <v>0</v>
      </c>
      <c r="AH131">
        <f t="shared" si="21"/>
        <v>0</v>
      </c>
      <c r="AI131">
        <f t="shared" ref="AI131:AI162" si="27">IF(AF131&lt;=0,P131,0)</f>
        <v>0</v>
      </c>
      <c r="AJ131">
        <f t="shared" si="22"/>
        <v>3000</v>
      </c>
      <c r="AK131">
        <f>IF('Input data'!$B$26="S",'Input data'!$B$22,3.1415*(('Input data'!$B$20*0.0005)-('Input data'!$B$28*A131))^2)</f>
        <v>7.8539816250000026E-3</v>
      </c>
    </row>
    <row r="132" spans="1:37" x14ac:dyDescent="0.2">
      <c r="A132" s="9">
        <f>A131+'Input data'!$B$24</f>
        <v>12.499999999999972</v>
      </c>
      <c r="B132">
        <f>B131+(J131*'Input data'!$B$24)</f>
        <v>5.6839854146815583</v>
      </c>
      <c r="C132">
        <f>C131+(K131*'Input data'!$B$24)</f>
        <v>0</v>
      </c>
      <c r="D132">
        <f>D131+(L131*'Input data'!$B$24)</f>
        <v>-38.600822337097156</v>
      </c>
      <c r="E132">
        <f>IF('Input data'!$B$13=2,'Input data'!$B$25*((0.1036*LN(ABS(P131+1)))+0.8731),IF('Input data'!$B$13=3,'Input data'!$B$25*((0.139*LN(ABS(P131+1)))+0.7503),'Input data'!$B$25))</f>
        <v>4.4380121584408201</v>
      </c>
      <c r="F132">
        <f>E132*COS(RADIANS('Input data'!$B$10))</f>
        <v>4.4380121584408201</v>
      </c>
      <c r="G132">
        <f>E132*SIN(RADIANS('Input data'!$B$10))</f>
        <v>0</v>
      </c>
      <c r="H132">
        <f>1.22*EXP(-0.0001065*(P131+'Input data'!$B$12))</f>
        <v>1.2209595382669507</v>
      </c>
      <c r="I132">
        <f t="shared" si="16"/>
        <v>38.62092612115103</v>
      </c>
      <c r="J132">
        <f>-0.5*H132*I132*AK132*'Input data'!$B$19*(B132-F132)/AF132</f>
        <v>-0.28594405878618889</v>
      </c>
      <c r="K132">
        <f>-0.5*H132*I132*AK132*'Input data'!$B$19*(C132-G132)/AF132</f>
        <v>0</v>
      </c>
      <c r="L132">
        <f>(-0.5*H132*AK132*I132*'Input data'!$B$19*D132/AF132)-'Input data'!$B$23</f>
        <v>-0.9463220498357785</v>
      </c>
      <c r="M132">
        <f>IF(AF132&gt;0,IF(P131&lt;=Param_1,M131,M131+(B133*'Input data'!$B$24)),M131)</f>
        <v>81.740795267372633</v>
      </c>
      <c r="N132">
        <f>IF(AF132&gt;0,IF(P131&lt;=Param_1,N131,N131+(C133*'Input data'!$B$24)),N131)</f>
        <v>0</v>
      </c>
      <c r="O132">
        <f t="shared" si="15"/>
        <v>0</v>
      </c>
      <c r="P132">
        <f>IF(P131&lt;=-100000,0,IF(AF132&gt;0,IF(P131&lt;Param_1,P131,P131+(D133*'Input data'!$B$24)),P131))</f>
        <v>-11.251682936037376</v>
      </c>
      <c r="Q132">
        <f t="shared" si="17"/>
        <v>81.740795267372633</v>
      </c>
      <c r="T132">
        <f t="shared" si="18"/>
        <v>0</v>
      </c>
      <c r="U132">
        <f t="shared" si="19"/>
        <v>0</v>
      </c>
      <c r="V132" s="74">
        <f>IF(X132=0,'Input data'!$Q$22,Q132)</f>
        <v>80.034601194491032</v>
      </c>
      <c r="W132" s="74">
        <f>IF(U132=0,'Input data'!$Q$23,U132)</f>
        <v>0</v>
      </c>
      <c r="X132" s="74">
        <f t="shared" si="25"/>
        <v>0</v>
      </c>
      <c r="Y132">
        <f>IF(P131&lt;Param_1,Y131,A133*'Input data'!$B$25*SIN(RADIANS('Input data'!$B$10)))</f>
        <v>0</v>
      </c>
      <c r="Z132">
        <f>IF(P131&lt;Param_1,Z131,A133*'Input data'!$B$25*COS(RADIANS('Input data'!$B$10)))</f>
        <v>52.499999999999886</v>
      </c>
      <c r="AA132">
        <f t="shared" si="23"/>
        <v>12.599999999999971</v>
      </c>
      <c r="AB132">
        <f t="shared" si="24"/>
        <v>5.1999999999999975</v>
      </c>
      <c r="AC132">
        <f>IF(ROUND(A132*10,3)='Input data'!$B$14*10,M132,0)</f>
        <v>0</v>
      </c>
      <c r="AD132">
        <f>IF(ROUND(A132*10,3)='Input data'!$B$14*10,N132,0)</f>
        <v>0</v>
      </c>
      <c r="AE132">
        <f>IF(ROUND(A132*10,3)='Input data'!$B$14*10,P132,0)</f>
        <v>0</v>
      </c>
      <c r="AF132">
        <f>IF('Input data'!$B$26="C",IF((3.14159265*1860/4)*((0.001*'Input data'!$B$20)-(2*'Input data'!$B$28*A132))^2*((0.33333*0.001*'Input data'!$B$20)-(2*'Input data'!$B$28*A132))&lt;0,(3.14159265*1860/4)*((0.001*'Input data'!$B$20)-(2*'Input data'!$B$28*A132))^2*((0.33333*0.001*'Input data'!$B$20)-(2*'Input data'!$B$28*A132)),(3.14159265*1860/4)*((0.001*'Input data'!$B$20)-(2*'Input data'!$B$28*A132))^2*((0.33333*0.001*'Input data'!$B$20)-(2*'Input data'!$B$28*A132))),'Input data'!$B$21)</f>
        <v>0.40680208090393727</v>
      </c>
      <c r="AG132">
        <f t="shared" si="20"/>
        <v>0</v>
      </c>
      <c r="AH132">
        <f t="shared" si="21"/>
        <v>0</v>
      </c>
      <c r="AI132">
        <f t="shared" si="27"/>
        <v>0</v>
      </c>
      <c r="AJ132">
        <f t="shared" si="22"/>
        <v>3000</v>
      </c>
      <c r="AK132">
        <f>IF('Input data'!$B$26="S",'Input data'!$B$22,3.1415*(('Input data'!$B$20*0.0005)-('Input data'!$B$28*A132))^2)</f>
        <v>7.8539816250000026E-3</v>
      </c>
    </row>
    <row r="133" spans="1:37" x14ac:dyDescent="0.2">
      <c r="A133" s="9">
        <f>A132+'Input data'!$B$24</f>
        <v>12.599999999999971</v>
      </c>
      <c r="B133">
        <f>B132+(J132*'Input data'!$B$24)</f>
        <v>5.6553910088029395</v>
      </c>
      <c r="C133">
        <f>C132+(K132*'Input data'!$B$24)</f>
        <v>0</v>
      </c>
      <c r="D133">
        <f>D132+(L132*'Input data'!$B$24)</f>
        <v>-38.695454542080732</v>
      </c>
      <c r="E133">
        <f>IF('Input data'!$B$13=2,'Input data'!$B$25*((0.1036*LN(ABS(P132+1)))+0.8731),IF('Input data'!$B$13=3,'Input data'!$B$25*((0.139*LN(ABS(P132+1)))+0.7503),'Input data'!$B$25))</f>
        <v>4.6425957452934101</v>
      </c>
      <c r="F133">
        <f>E133*COS(RADIANS('Input data'!$B$10))</f>
        <v>4.6425957452934101</v>
      </c>
      <c r="G133">
        <f>E133*SIN(RADIANS('Input data'!$B$10))</f>
        <v>0</v>
      </c>
      <c r="H133">
        <f>1.22*EXP(-0.0001065*(P132+'Input data'!$B$12))</f>
        <v>1.2214628074330074</v>
      </c>
      <c r="I133">
        <f t="shared" si="16"/>
        <v>38.708706468493929</v>
      </c>
      <c r="J133">
        <f>-0.5*H133*I133*AK133*'Input data'!$B$19*(B133-F133)/AF133</f>
        <v>-0.23305529196122921</v>
      </c>
      <c r="K133">
        <f>-0.5*H133*I133*AK133*'Input data'!$B$19*(C133-G133)/AF133</f>
        <v>0</v>
      </c>
      <c r="L133">
        <f>(-0.5*H133*AK133*I133*'Input data'!$B$19*D133/AF133)-'Input data'!$B$23</f>
        <v>-0.90075174687589055</v>
      </c>
      <c r="M133">
        <f>IF(AF133&gt;0,IF(P132&lt;=Param_1,M132,M132+(B134*'Input data'!$B$24)),M132)</f>
        <v>82.304003815333317</v>
      </c>
      <c r="N133">
        <f>IF(AF133&gt;0,IF(P132&lt;=Param_1,N132,N132+(C134*'Input data'!$B$24)),N132)</f>
        <v>0</v>
      </c>
      <c r="O133">
        <f t="shared" si="15"/>
        <v>0</v>
      </c>
      <c r="P133">
        <f>IF(P132&lt;=-100000,0,IF(AF133&gt;0,IF(P132&lt;Param_1,P132,P132+(D134*'Input data'!$B$24)),P132))</f>
        <v>-15.130235907714209</v>
      </c>
      <c r="Q133">
        <f t="shared" si="17"/>
        <v>82.304003815333317</v>
      </c>
      <c r="T133">
        <f t="shared" si="18"/>
        <v>0</v>
      </c>
      <c r="U133">
        <f t="shared" si="19"/>
        <v>0</v>
      </c>
      <c r="V133" s="74">
        <f>IF(X133=0,'Input data'!$Q$22,Q133)</f>
        <v>80.034601194491032</v>
      </c>
      <c r="W133" s="74">
        <f>IF(U133=0,'Input data'!$Q$23,U133)</f>
        <v>0</v>
      </c>
      <c r="X133" s="74">
        <f t="shared" si="25"/>
        <v>0</v>
      </c>
      <c r="Y133">
        <f>IF(P132&lt;Param_1,Y132,A134*'Input data'!$B$25*SIN(RADIANS('Input data'!$B$10)))</f>
        <v>0</v>
      </c>
      <c r="Z133">
        <f>IF(P132&lt;Param_1,Z132,A134*'Input data'!$B$25*COS(RADIANS('Input data'!$B$10)))</f>
        <v>52.916666666666551</v>
      </c>
      <c r="AA133">
        <f t="shared" si="23"/>
        <v>12.699999999999971</v>
      </c>
      <c r="AB133">
        <f t="shared" si="24"/>
        <v>5.1999999999999975</v>
      </c>
      <c r="AC133">
        <f>IF(ROUND(A133*10,3)='Input data'!$B$14*10,M133,0)</f>
        <v>0</v>
      </c>
      <c r="AD133">
        <f>IF(ROUND(A133*10,3)='Input data'!$B$14*10,N133,0)</f>
        <v>0</v>
      </c>
      <c r="AE133">
        <f>IF(ROUND(A133*10,3)='Input data'!$B$14*10,P133,0)</f>
        <v>0</v>
      </c>
      <c r="AF133">
        <f>IF('Input data'!$B$26="C",IF((3.14159265*1860/4)*((0.001*'Input data'!$B$20)-(2*'Input data'!$B$28*A133))^2*((0.33333*0.001*'Input data'!$B$20)-(2*'Input data'!$B$28*A133))&lt;0,(3.14159265*1860/4)*((0.001*'Input data'!$B$20)-(2*'Input data'!$B$28*A133))^2*((0.33333*0.001*'Input data'!$B$20)-(2*'Input data'!$B$28*A133)),(3.14159265*1860/4)*((0.001*'Input data'!$B$20)-(2*'Input data'!$B$28*A133))^2*((0.33333*0.001*'Input data'!$B$20)-(2*'Input data'!$B$28*A133))),'Input data'!$B$21)</f>
        <v>0.40680208090393727</v>
      </c>
      <c r="AG133">
        <f t="shared" si="20"/>
        <v>0</v>
      </c>
      <c r="AH133">
        <f t="shared" si="21"/>
        <v>0</v>
      </c>
      <c r="AI133">
        <f t="shared" si="27"/>
        <v>0</v>
      </c>
      <c r="AJ133">
        <f t="shared" si="22"/>
        <v>3000</v>
      </c>
      <c r="AK133">
        <f>IF('Input data'!$B$26="S",'Input data'!$B$22,3.1415*(('Input data'!$B$20*0.0005)-('Input data'!$B$28*A133))^2)</f>
        <v>7.8539816250000026E-3</v>
      </c>
    </row>
    <row r="134" spans="1:37" x14ac:dyDescent="0.2">
      <c r="A134" s="9">
        <f>A133+'Input data'!$B$24</f>
        <v>12.699999999999971</v>
      </c>
      <c r="B134">
        <f>B133+(J133*'Input data'!$B$24)</f>
        <v>5.6320854796068165</v>
      </c>
      <c r="C134">
        <f>C133+(K133*'Input data'!$B$24)</f>
        <v>0</v>
      </c>
      <c r="D134">
        <f>D133+(L133*'Input data'!$B$24)</f>
        <v>-38.785529716768323</v>
      </c>
      <c r="E134">
        <f>IF('Input data'!$B$13=2,'Input data'!$B$25*((0.1036*LN(ABS(P133+1)))+0.8731),IF('Input data'!$B$13=3,'Input data'!$B$25*((0.139*LN(ABS(P133+1)))+0.7503),'Input data'!$B$25))</f>
        <v>4.7811067917471091</v>
      </c>
      <c r="F134">
        <f>E134*COS(RADIANS('Input data'!$B$10))</f>
        <v>4.7811067917471091</v>
      </c>
      <c r="G134">
        <f>E134*SIN(RADIANS('Input data'!$B$10))</f>
        <v>0</v>
      </c>
      <c r="H134">
        <f>1.22*EXP(-0.0001065*(P133+'Input data'!$B$12))</f>
        <v>1.2219674562759104</v>
      </c>
      <c r="I134">
        <f t="shared" si="16"/>
        <v>38.794864094845209</v>
      </c>
      <c r="J134">
        <f>-0.5*H134*I134*AK134*'Input data'!$B$19*(B134-F134)/AF134</f>
        <v>-0.19633646130997523</v>
      </c>
      <c r="K134">
        <f>-0.5*H134*I134*AK134*'Input data'!$B$19*(C134-G134)/AF134</f>
        <v>0</v>
      </c>
      <c r="L134">
        <f>(-0.5*H134*AK134*I134*'Input data'!$B$19*D134/AF134)-'Input data'!$B$23</f>
        <v>-0.85646372845639185</v>
      </c>
      <c r="M134">
        <f>IF(AF134&gt;0,IF(P133&lt;=Param_1,M133,M133+(B135*'Input data'!$B$24)),M133)</f>
        <v>82.865248998680897</v>
      </c>
      <c r="N134">
        <f>IF(AF134&gt;0,IF(P133&lt;=Param_1,N133,N133+(C135*'Input data'!$B$24)),N133)</f>
        <v>0</v>
      </c>
      <c r="O134">
        <f t="shared" ref="O134:O197" si="28">ABS(N134)</f>
        <v>0</v>
      </c>
      <c r="P134">
        <f>IF(P133&lt;=-100000,0,IF(AF134&gt;0,IF(P133&lt;Param_1,P133,P133+(D135*'Input data'!$B$24)),P133))</f>
        <v>-19.017353516675605</v>
      </c>
      <c r="Q134">
        <f t="shared" si="17"/>
        <v>82.865248998680897</v>
      </c>
      <c r="T134">
        <f t="shared" si="18"/>
        <v>0</v>
      </c>
      <c r="U134">
        <f t="shared" si="19"/>
        <v>0</v>
      </c>
      <c r="V134" s="74">
        <f>IF(X134=0,'Input data'!$Q$22,Q134)</f>
        <v>80.034601194491032</v>
      </c>
      <c r="W134" s="74">
        <f>IF(U134=0,'Input data'!$Q$23,U134)</f>
        <v>0</v>
      </c>
      <c r="X134" s="74">
        <f t="shared" si="25"/>
        <v>0</v>
      </c>
      <c r="Y134">
        <f>IF(P133&lt;Param_1,Y133,A135*'Input data'!$B$25*SIN(RADIANS('Input data'!$B$10)))</f>
        <v>0</v>
      </c>
      <c r="Z134">
        <f>IF(P133&lt;Param_1,Z133,A135*'Input data'!$B$25*COS(RADIANS('Input data'!$B$10)))</f>
        <v>53.333333333333215</v>
      </c>
      <c r="AA134">
        <f t="shared" si="23"/>
        <v>12.799999999999971</v>
      </c>
      <c r="AB134">
        <f t="shared" si="24"/>
        <v>5.1999999999999975</v>
      </c>
      <c r="AC134">
        <f>IF(ROUND(A134*10,3)='Input data'!$B$14*10,M134,0)</f>
        <v>0</v>
      </c>
      <c r="AD134">
        <f>IF(ROUND(A134*10,3)='Input data'!$B$14*10,N134,0)</f>
        <v>0</v>
      </c>
      <c r="AE134">
        <f>IF(ROUND(A134*10,3)='Input data'!$B$14*10,P134,0)</f>
        <v>0</v>
      </c>
      <c r="AF134">
        <f>IF('Input data'!$B$26="C",IF((3.14159265*1860/4)*((0.001*'Input data'!$B$20)-(2*'Input data'!$B$28*A134))^2*((0.33333*0.001*'Input data'!$B$20)-(2*'Input data'!$B$28*A134))&lt;0,(3.14159265*1860/4)*((0.001*'Input data'!$B$20)-(2*'Input data'!$B$28*A134))^2*((0.33333*0.001*'Input data'!$B$20)-(2*'Input data'!$B$28*A134)),(3.14159265*1860/4)*((0.001*'Input data'!$B$20)-(2*'Input data'!$B$28*A134))^2*((0.33333*0.001*'Input data'!$B$20)-(2*'Input data'!$B$28*A134))),'Input data'!$B$21)</f>
        <v>0.40680208090393727</v>
      </c>
      <c r="AG134">
        <f t="shared" si="20"/>
        <v>0</v>
      </c>
      <c r="AH134">
        <f t="shared" si="21"/>
        <v>0</v>
      </c>
      <c r="AI134">
        <f t="shared" si="27"/>
        <v>0</v>
      </c>
      <c r="AJ134">
        <f t="shared" si="22"/>
        <v>3000</v>
      </c>
      <c r="AK134">
        <f>IF('Input data'!$B$26="S",'Input data'!$B$22,3.1415*(('Input data'!$B$20*0.0005)-('Input data'!$B$28*A134))^2)</f>
        <v>7.8539816250000026E-3</v>
      </c>
    </row>
    <row r="135" spans="1:37" x14ac:dyDescent="0.2">
      <c r="A135" s="9">
        <f>A134+'Input data'!$B$24</f>
        <v>12.799999999999971</v>
      </c>
      <c r="B135">
        <f>B134+(J134*'Input data'!$B$24)</f>
        <v>5.6124518334758191</v>
      </c>
      <c r="C135">
        <f>C134+(K134*'Input data'!$B$24)</f>
        <v>0</v>
      </c>
      <c r="D135">
        <f>D134+(L134*'Input data'!$B$24)</f>
        <v>-38.871176089613961</v>
      </c>
      <c r="E135">
        <f>IF('Input data'!$B$13=2,'Input data'!$B$25*((0.1036*LN(ABS(P134+1)))+0.8731),IF('Input data'!$B$13=3,'Input data'!$B$25*((0.139*LN(ABS(P134+1)))+0.7503),'Input data'!$B$25))</f>
        <v>4.8860097713846979</v>
      </c>
      <c r="F135">
        <f>E135*COS(RADIANS('Input data'!$B$10))</f>
        <v>4.8860097713846979</v>
      </c>
      <c r="G135">
        <f>E135*SIN(RADIANS('Input data'!$B$10))</f>
        <v>0</v>
      </c>
      <c r="H135">
        <f>1.22*EXP(-0.0001065*(P134+'Input data'!$B$12))</f>
        <v>1.222473428674008</v>
      </c>
      <c r="I135">
        <f t="shared" ref="I135:I198" si="29">SQRT(((B135-F135)^2)+((C135-G135)^2)+(D135^2))</f>
        <v>38.877963535393043</v>
      </c>
      <c r="J135">
        <f>-0.5*H135*I135*AK135*'Input data'!$B$19*(B135-F135)/AF135</f>
        <v>-0.16803212503068976</v>
      </c>
      <c r="K135">
        <f>-0.5*H135*I135*AK135*'Input data'!$B$19*(C135-G135)/AF135</f>
        <v>0</v>
      </c>
      <c r="L135">
        <f>(-0.5*H135*AK135*I135*'Input data'!$B$19*D135/AF135)-'Input data'!$B$23</f>
        <v>-0.81377184619758403</v>
      </c>
      <c r="M135">
        <f>IF(AF135&gt;0,IF(P134&lt;=Param_1,M134,M134+(B136*'Input data'!$B$24)),M134)</f>
        <v>83.424813860778173</v>
      </c>
      <c r="N135">
        <f>IF(AF135&gt;0,IF(P134&lt;=Param_1,N134,N134+(C136*'Input data'!$B$24)),N134)</f>
        <v>0</v>
      </c>
      <c r="O135">
        <f t="shared" si="28"/>
        <v>0</v>
      </c>
      <c r="P135">
        <f>IF(P134&lt;=-100000,0,IF(AF135&gt;0,IF(P134&lt;Param_1,P134,P134+(D136*'Input data'!$B$24)),P134))</f>
        <v>-22.912608844098976</v>
      </c>
      <c r="Q135">
        <f t="shared" ref="Q135:Q198" si="30">IF(P135=0,0,M135)</f>
        <v>83.424813860778173</v>
      </c>
      <c r="T135">
        <f t="shared" ref="T135:T198" si="31">IF(X135=0,0,Q135)</f>
        <v>0</v>
      </c>
      <c r="U135">
        <f t="shared" ref="U135:U198" si="32">IF(X135=0,0,N135)</f>
        <v>0</v>
      </c>
      <c r="V135" s="74">
        <f>IF(X135=0,'Input data'!$Q$22,Q135)</f>
        <v>80.034601194491032</v>
      </c>
      <c r="W135" s="74">
        <f>IF(U135=0,'Input data'!$Q$23,U135)</f>
        <v>0</v>
      </c>
      <c r="X135" s="74">
        <f t="shared" si="25"/>
        <v>0</v>
      </c>
      <c r="Y135">
        <f>IF(P134&lt;Param_1,Y134,A136*'Input data'!$B$25*SIN(RADIANS('Input data'!$B$10)))</f>
        <v>0</v>
      </c>
      <c r="Z135">
        <f>IF(P134&lt;Param_1,Z134,A136*'Input data'!$B$25*COS(RADIANS('Input data'!$B$10)))</f>
        <v>53.749999999999879</v>
      </c>
      <c r="AA135">
        <f t="shared" si="23"/>
        <v>12.89999999999997</v>
      </c>
      <c r="AB135">
        <f t="shared" si="24"/>
        <v>5.1999999999999975</v>
      </c>
      <c r="AC135">
        <f>IF(ROUND(A135*10,3)='Input data'!$B$14*10,M135,0)</f>
        <v>0</v>
      </c>
      <c r="AD135">
        <f>IF(ROUND(A135*10,3)='Input data'!$B$14*10,N135,0)</f>
        <v>0</v>
      </c>
      <c r="AE135">
        <f>IF(ROUND(A135*10,3)='Input data'!$B$14*10,P135,0)</f>
        <v>0</v>
      </c>
      <c r="AF135">
        <f>IF('Input data'!$B$26="C",IF((3.14159265*1860/4)*((0.001*'Input data'!$B$20)-(2*'Input data'!$B$28*A135))^2*((0.33333*0.001*'Input data'!$B$20)-(2*'Input data'!$B$28*A135))&lt;0,(3.14159265*1860/4)*((0.001*'Input data'!$B$20)-(2*'Input data'!$B$28*A135))^2*((0.33333*0.001*'Input data'!$B$20)-(2*'Input data'!$B$28*A135)),(3.14159265*1860/4)*((0.001*'Input data'!$B$20)-(2*'Input data'!$B$28*A135))^2*((0.33333*0.001*'Input data'!$B$20)-(2*'Input data'!$B$28*A135))),'Input data'!$B$21)</f>
        <v>0.40680208090393727</v>
      </c>
      <c r="AG135">
        <f t="shared" ref="AG135:AG198" si="33">IF(AF135&lt;=0,M135,0)</f>
        <v>0</v>
      </c>
      <c r="AH135">
        <f t="shared" ref="AH135:AH198" si="34">IF(AF135&lt;=0,N135,0)</f>
        <v>0</v>
      </c>
      <c r="AI135">
        <f t="shared" si="27"/>
        <v>0</v>
      </c>
      <c r="AJ135">
        <f t="shared" ref="AJ135:AJ198" si="35">IF(AF135&lt;=0,AA135,3000)</f>
        <v>3000</v>
      </c>
      <c r="AK135">
        <f>IF('Input data'!$B$26="S",'Input data'!$B$22,3.1415*(('Input data'!$B$20*0.0005)-('Input data'!$B$28*A135))^2)</f>
        <v>7.8539816250000026E-3</v>
      </c>
    </row>
    <row r="136" spans="1:37" x14ac:dyDescent="0.2">
      <c r="A136" s="9">
        <f>A135+'Input data'!$B$24</f>
        <v>12.89999999999997</v>
      </c>
      <c r="B136">
        <f>B135+(J135*'Input data'!$B$24)</f>
        <v>5.5956486209727503</v>
      </c>
      <c r="C136">
        <f>C135+(K135*'Input data'!$B$24)</f>
        <v>0</v>
      </c>
      <c r="D136">
        <f>D135+(L135*'Input data'!$B$24)</f>
        <v>-38.952553274233722</v>
      </c>
      <c r="E136">
        <f>IF('Input data'!$B$13=2,'Input data'!$B$25*((0.1036*LN(ABS(P135+1)))+0.8731),IF('Input data'!$B$13=3,'Input data'!$B$25*((0.139*LN(ABS(P135+1)))+0.7503),'Input data'!$B$25))</f>
        <v>4.9704985238659294</v>
      </c>
      <c r="F136">
        <f>E136*COS(RADIANS('Input data'!$B$10))</f>
        <v>4.9704985238659294</v>
      </c>
      <c r="G136">
        <f>E136*SIN(RADIANS('Input data'!$B$10))</f>
        <v>0</v>
      </c>
      <c r="H136">
        <f>1.22*EXP(-0.0001065*(P135+'Input data'!$B$12))</f>
        <v>1.2229806704934711</v>
      </c>
      <c r="I136">
        <f t="shared" si="29"/>
        <v>38.957569472772924</v>
      </c>
      <c r="J136">
        <f>-0.5*H136*I136*AK136*'Input data'!$B$19*(B136-F136)/AF136</f>
        <v>-0.14495865497476987</v>
      </c>
      <c r="K136">
        <f>-0.5*H136*I136*AK136*'Input data'!$B$19*(C136-G136)/AF136</f>
        <v>0</v>
      </c>
      <c r="L136">
        <f>(-0.5*H136*AK136*I136*'Input data'!$B$19*D136/AF136)-'Input data'!$B$23</f>
        <v>-0.77275357374509568</v>
      </c>
      <c r="M136">
        <f>IF(AF136&gt;0,IF(P135&lt;=Param_1,M135,M135+(B137*'Input data'!$B$24)),M135)</f>
        <v>83.982929136325694</v>
      </c>
      <c r="N136">
        <f>IF(AF136&gt;0,IF(P135&lt;=Param_1,N135,N135+(C137*'Input data'!$B$24)),N135)</f>
        <v>0</v>
      </c>
      <c r="O136">
        <f t="shared" si="28"/>
        <v>0</v>
      </c>
      <c r="P136">
        <f>IF(P135&lt;=-100000,0,IF(AF136&gt;0,IF(P135&lt;Param_1,P135,P135+(D137*'Input data'!$B$24)),P135))</f>
        <v>-26.815591707259799</v>
      </c>
      <c r="Q136">
        <f t="shared" si="30"/>
        <v>83.982929136325694</v>
      </c>
      <c r="T136">
        <f t="shared" si="31"/>
        <v>0</v>
      </c>
      <c r="U136">
        <f t="shared" si="32"/>
        <v>0</v>
      </c>
      <c r="V136" s="74">
        <f>IF(X136=0,'Input data'!$Q$22,Q136)</f>
        <v>80.034601194491032</v>
      </c>
      <c r="W136" s="74">
        <f>IF(U136=0,'Input data'!$Q$23,U136)</f>
        <v>0</v>
      </c>
      <c r="X136" s="74">
        <f t="shared" si="25"/>
        <v>0</v>
      </c>
      <c r="Y136">
        <f>IF(P135&lt;Param_1,Y135,A137*'Input data'!$B$25*SIN(RADIANS('Input data'!$B$10)))</f>
        <v>0</v>
      </c>
      <c r="Z136">
        <f>IF(P135&lt;Param_1,Z135,A137*'Input data'!$B$25*COS(RADIANS('Input data'!$B$10)))</f>
        <v>54.166666666666544</v>
      </c>
      <c r="AA136">
        <f t="shared" ref="AA136:AA199" si="36">IF(P135&lt;Param_1,AA135,A137)</f>
        <v>12.99999999999997</v>
      </c>
      <c r="AB136">
        <f t="shared" ref="AB136:AB199" si="37">IF(D136&lt;0,AB135,A137)</f>
        <v>5.1999999999999975</v>
      </c>
      <c r="AC136">
        <f>IF(ROUND(A136*10,3)='Input data'!$B$14*10,M136,0)</f>
        <v>0</v>
      </c>
      <c r="AD136">
        <f>IF(ROUND(A136*10,3)='Input data'!$B$14*10,N136,0)</f>
        <v>0</v>
      </c>
      <c r="AE136">
        <f>IF(ROUND(A136*10,3)='Input data'!$B$14*10,P136,0)</f>
        <v>0</v>
      </c>
      <c r="AF136">
        <f>IF('Input data'!$B$26="C",IF((3.14159265*1860/4)*((0.001*'Input data'!$B$20)-(2*'Input data'!$B$28*A136))^2*((0.33333*0.001*'Input data'!$B$20)-(2*'Input data'!$B$28*A136))&lt;0,(3.14159265*1860/4)*((0.001*'Input data'!$B$20)-(2*'Input data'!$B$28*A136))^2*((0.33333*0.001*'Input data'!$B$20)-(2*'Input data'!$B$28*A136)),(3.14159265*1860/4)*((0.001*'Input data'!$B$20)-(2*'Input data'!$B$28*A136))^2*((0.33333*0.001*'Input data'!$B$20)-(2*'Input data'!$B$28*A136))),'Input data'!$B$21)</f>
        <v>0.40680208090393727</v>
      </c>
      <c r="AG136">
        <f t="shared" si="33"/>
        <v>0</v>
      </c>
      <c r="AH136">
        <f t="shared" si="34"/>
        <v>0</v>
      </c>
      <c r="AI136">
        <f t="shared" si="27"/>
        <v>0</v>
      </c>
      <c r="AJ136">
        <f t="shared" si="35"/>
        <v>3000</v>
      </c>
      <c r="AK136">
        <f>IF('Input data'!$B$26="S",'Input data'!$B$22,3.1415*(('Input data'!$B$20*0.0005)-('Input data'!$B$28*A136))^2)</f>
        <v>7.8539816250000026E-3</v>
      </c>
    </row>
    <row r="137" spans="1:37" x14ac:dyDescent="0.2">
      <c r="A137" s="9">
        <f>A136+'Input data'!$B$24</f>
        <v>12.99999999999997</v>
      </c>
      <c r="B137">
        <f>B136+(J136*'Input data'!$B$24)</f>
        <v>5.5811527554752729</v>
      </c>
      <c r="C137">
        <f>C136+(K136*'Input data'!$B$24)</f>
        <v>0</v>
      </c>
      <c r="D137">
        <f>D136+(L136*'Input data'!$B$24)</f>
        <v>-39.029828631608233</v>
      </c>
      <c r="E137">
        <f>IF('Input data'!$B$13=2,'Input data'!$B$25*((0.1036*LN(ABS(P136+1)))+0.8731),IF('Input data'!$B$13=3,'Input data'!$B$25*((0.139*LN(ABS(P136+1)))+0.7503),'Input data'!$B$25))</f>
        <v>5.0412557792255921</v>
      </c>
      <c r="F137">
        <f>E137*COS(RADIANS('Input data'!$B$10))</f>
        <v>5.0412557792255921</v>
      </c>
      <c r="G137">
        <f>E137*SIN(RADIANS('Input data'!$B$10))</f>
        <v>0</v>
      </c>
      <c r="H137">
        <f>1.22*EXP(-0.0001065*(P136+'Input data'!$B$12))</f>
        <v>1.2234891296929611</v>
      </c>
      <c r="I137">
        <f t="shared" si="29"/>
        <v>39.033562632146058</v>
      </c>
      <c r="J137">
        <f>-0.5*H137*I137*AK137*'Input data'!$B$19*(B137-F137)/AF137</f>
        <v>-0.12548667233662239</v>
      </c>
      <c r="K137">
        <f>-0.5*H137*I137*AK137*'Input data'!$B$19*(C137-G137)/AF137</f>
        <v>0</v>
      </c>
      <c r="L137">
        <f>(-0.5*H137*AK137*I137*'Input data'!$B$19*D137/AF137)-'Input data'!$B$23</f>
        <v>-0.73341128529650312</v>
      </c>
      <c r="M137">
        <f>IF(AF137&gt;0,IF(P136&lt;=Param_1,M136,M136+(B138*'Input data'!$B$24)),M136)</f>
        <v>84.539789545149858</v>
      </c>
      <c r="N137">
        <f>IF(AF137&gt;0,IF(P136&lt;=Param_1,N136,N136+(C138*'Input data'!$B$24)),N136)</f>
        <v>0</v>
      </c>
      <c r="O137">
        <f t="shared" si="28"/>
        <v>0</v>
      </c>
      <c r="P137">
        <f>IF(P136&lt;=-100000,0,IF(AF137&gt;0,IF(P136&lt;Param_1,P136,P136+(D138*'Input data'!$B$24)),P136))</f>
        <v>-30.725908683273587</v>
      </c>
      <c r="Q137">
        <f t="shared" si="30"/>
        <v>84.539789545149858</v>
      </c>
      <c r="T137">
        <f t="shared" si="31"/>
        <v>0</v>
      </c>
      <c r="U137">
        <f t="shared" si="32"/>
        <v>0</v>
      </c>
      <c r="V137" s="74">
        <f>IF(X137=0,'Input data'!$Q$22,Q137)</f>
        <v>80.034601194491032</v>
      </c>
      <c r="W137" s="74">
        <f>IF(U137=0,'Input data'!$Q$23,U137)</f>
        <v>0</v>
      </c>
      <c r="X137" s="74">
        <f t="shared" si="25"/>
        <v>0</v>
      </c>
      <c r="Y137">
        <f>IF(P136&lt;Param_1,Y136,A138*'Input data'!$B$25*SIN(RADIANS('Input data'!$B$10)))</f>
        <v>0</v>
      </c>
      <c r="Z137">
        <f>IF(P136&lt;Param_1,Z136,A138*'Input data'!$B$25*COS(RADIANS('Input data'!$B$10)))</f>
        <v>54.583333333333208</v>
      </c>
      <c r="AA137">
        <f t="shared" si="36"/>
        <v>13.099999999999969</v>
      </c>
      <c r="AB137">
        <f t="shared" si="37"/>
        <v>5.1999999999999975</v>
      </c>
      <c r="AC137">
        <f>IF(ROUND(A137*10,3)='Input data'!$B$14*10,M137,0)</f>
        <v>0</v>
      </c>
      <c r="AD137">
        <f>IF(ROUND(A137*10,3)='Input data'!$B$14*10,N137,0)</f>
        <v>0</v>
      </c>
      <c r="AE137">
        <f>IF(ROUND(A137*10,3)='Input data'!$B$14*10,P137,0)</f>
        <v>0</v>
      </c>
      <c r="AF137">
        <f>IF('Input data'!$B$26="C",IF((3.14159265*1860/4)*((0.001*'Input data'!$B$20)-(2*'Input data'!$B$28*A137))^2*((0.33333*0.001*'Input data'!$B$20)-(2*'Input data'!$B$28*A137))&lt;0,(3.14159265*1860/4)*((0.001*'Input data'!$B$20)-(2*'Input data'!$B$28*A137))^2*((0.33333*0.001*'Input data'!$B$20)-(2*'Input data'!$B$28*A137)),(3.14159265*1860/4)*((0.001*'Input data'!$B$20)-(2*'Input data'!$B$28*A137))^2*((0.33333*0.001*'Input data'!$B$20)-(2*'Input data'!$B$28*A137))),'Input data'!$B$21)</f>
        <v>0.40680208090393727</v>
      </c>
      <c r="AG137">
        <f t="shared" si="33"/>
        <v>0</v>
      </c>
      <c r="AH137">
        <f t="shared" si="34"/>
        <v>0</v>
      </c>
      <c r="AI137">
        <f t="shared" si="27"/>
        <v>0</v>
      </c>
      <c r="AJ137">
        <f t="shared" si="35"/>
        <v>3000</v>
      </c>
      <c r="AK137">
        <f>IF('Input data'!$B$26="S",'Input data'!$B$22,3.1415*(('Input data'!$B$20*0.0005)-('Input data'!$B$28*A137))^2)</f>
        <v>7.8539816250000026E-3</v>
      </c>
    </row>
    <row r="138" spans="1:37" x14ac:dyDescent="0.2">
      <c r="A138" s="9">
        <f>A137+'Input data'!$B$24</f>
        <v>13.099999999999969</v>
      </c>
      <c r="B138">
        <f>B137+(J137*'Input data'!$B$24)</f>
        <v>5.568604088241611</v>
      </c>
      <c r="C138">
        <f>C137+(K137*'Input data'!$B$24)</f>
        <v>0</v>
      </c>
      <c r="D138">
        <f>D137+(L137*'Input data'!$B$24)</f>
        <v>-39.103169760137881</v>
      </c>
      <c r="E138">
        <f>IF('Input data'!$B$13=2,'Input data'!$B$25*((0.1036*LN(ABS(P137+1)))+0.8731),IF('Input data'!$B$13=3,'Input data'!$B$25*((0.139*LN(ABS(P137+1)))+0.7503),'Input data'!$B$25))</f>
        <v>5.1021382067491015</v>
      </c>
      <c r="F138">
        <f>E138*COS(RADIANS('Input data'!$B$10))</f>
        <v>5.1021382067491015</v>
      </c>
      <c r="G138">
        <f>E138*SIN(RADIANS('Input data'!$B$10))</f>
        <v>0</v>
      </c>
      <c r="H138">
        <f>1.22*EXP(-0.0001065*(P137+'Input data'!$B$12))</f>
        <v>1.2239987563307064</v>
      </c>
      <c r="I138">
        <f t="shared" si="29"/>
        <v>39.10595192178242</v>
      </c>
      <c r="J138">
        <f>-0.5*H138*I138*AK138*'Input data'!$B$19*(B138-F138)/AF138</f>
        <v>-0.10866561025336452</v>
      </c>
      <c r="K138">
        <f>-0.5*H138*I138*AK138*'Input data'!$B$19*(C138-G138)/AF138</f>
        <v>0</v>
      </c>
      <c r="L138">
        <f>(-0.5*H138*AK138*I138*'Input data'!$B$19*D138/AF138)-'Input data'!$B$23</f>
        <v>-0.69571682749743502</v>
      </c>
      <c r="M138">
        <f>IF(AF138&gt;0,IF(P137&lt;=Param_1,M137,M137+(B139*'Input data'!$B$24)),M137)</f>
        <v>85.095563297871479</v>
      </c>
      <c r="N138">
        <f>IF(AF138&gt;0,IF(P137&lt;=Param_1,N137,N137+(C139*'Input data'!$B$24)),N137)</f>
        <v>0</v>
      </c>
      <c r="O138">
        <f t="shared" si="28"/>
        <v>0</v>
      </c>
      <c r="P138">
        <f>IF(P137&lt;=-100000,0,IF(AF138&gt;0,IF(P137&lt;Param_1,P137,P137+(D139*'Input data'!$B$24)),P137))</f>
        <v>-34.643182827562349</v>
      </c>
      <c r="Q138">
        <f t="shared" si="30"/>
        <v>85.095563297871479</v>
      </c>
      <c r="T138">
        <f t="shared" si="31"/>
        <v>0</v>
      </c>
      <c r="U138">
        <f t="shared" si="32"/>
        <v>0</v>
      </c>
      <c r="V138" s="74">
        <f>IF(X138=0,'Input data'!$Q$22,Q138)</f>
        <v>80.034601194491032</v>
      </c>
      <c r="W138" s="74">
        <f>IF(U138=0,'Input data'!$Q$23,U138)</f>
        <v>0</v>
      </c>
      <c r="X138" s="74">
        <f t="shared" si="25"/>
        <v>0</v>
      </c>
      <c r="Y138">
        <f>IF(P137&lt;Param_1,Y137,A139*'Input data'!$B$25*SIN(RADIANS('Input data'!$B$10)))</f>
        <v>0</v>
      </c>
      <c r="Z138">
        <f>IF(P137&lt;Param_1,Z137,A139*'Input data'!$B$25*COS(RADIANS('Input data'!$B$10)))</f>
        <v>54.999999999999872</v>
      </c>
      <c r="AA138">
        <f t="shared" si="36"/>
        <v>13.199999999999969</v>
      </c>
      <c r="AB138">
        <f t="shared" si="37"/>
        <v>5.1999999999999975</v>
      </c>
      <c r="AC138">
        <f>IF(ROUND(A138*10,3)='Input data'!$B$14*10,M138,0)</f>
        <v>0</v>
      </c>
      <c r="AD138">
        <f>IF(ROUND(A138*10,3)='Input data'!$B$14*10,N138,0)</f>
        <v>0</v>
      </c>
      <c r="AE138">
        <f>IF(ROUND(A138*10,3)='Input data'!$B$14*10,P138,0)</f>
        <v>0</v>
      </c>
      <c r="AF138">
        <f>IF('Input data'!$B$26="C",IF((3.14159265*1860/4)*((0.001*'Input data'!$B$20)-(2*'Input data'!$B$28*A138))^2*((0.33333*0.001*'Input data'!$B$20)-(2*'Input data'!$B$28*A138))&lt;0,(3.14159265*1860/4)*((0.001*'Input data'!$B$20)-(2*'Input data'!$B$28*A138))^2*((0.33333*0.001*'Input data'!$B$20)-(2*'Input data'!$B$28*A138)),(3.14159265*1860/4)*((0.001*'Input data'!$B$20)-(2*'Input data'!$B$28*A138))^2*((0.33333*0.001*'Input data'!$B$20)-(2*'Input data'!$B$28*A138))),'Input data'!$B$21)</f>
        <v>0.40680208090393727</v>
      </c>
      <c r="AG138">
        <f t="shared" si="33"/>
        <v>0</v>
      </c>
      <c r="AH138">
        <f t="shared" si="34"/>
        <v>0</v>
      </c>
      <c r="AI138">
        <f t="shared" si="27"/>
        <v>0</v>
      </c>
      <c r="AJ138">
        <f t="shared" si="35"/>
        <v>3000</v>
      </c>
      <c r="AK138">
        <f>IF('Input data'!$B$26="S",'Input data'!$B$22,3.1415*(('Input data'!$B$20*0.0005)-('Input data'!$B$28*A138))^2)</f>
        <v>7.8539816250000026E-3</v>
      </c>
    </row>
    <row r="139" spans="1:37" x14ac:dyDescent="0.2">
      <c r="A139" s="9">
        <f>A138+'Input data'!$B$24</f>
        <v>13.199999999999969</v>
      </c>
      <c r="B139">
        <f>B138+(J138*'Input data'!$B$24)</f>
        <v>5.5577375272162746</v>
      </c>
      <c r="C139">
        <f>C138+(K138*'Input data'!$B$24)</f>
        <v>0</v>
      </c>
      <c r="D139">
        <f>D138+(L138*'Input data'!$B$24)</f>
        <v>-39.172741442887627</v>
      </c>
      <c r="E139">
        <f>IF('Input data'!$B$13=2,'Input data'!$B$25*((0.1036*LN(ABS(P138+1)))+0.8731),IF('Input data'!$B$13=3,'Input data'!$B$25*((0.139*LN(ABS(P138+1)))+0.7503),'Input data'!$B$25))</f>
        <v>5.1555748420932703</v>
      </c>
      <c r="F139">
        <f>E139*COS(RADIANS('Input data'!$B$10))</f>
        <v>5.1555748420932703</v>
      </c>
      <c r="G139">
        <f>E139*SIN(RADIANS('Input data'!$B$10))</f>
        <v>0</v>
      </c>
      <c r="H139">
        <f>1.22*EXP(-0.0001065*(P138+'Input data'!$B$12))</f>
        <v>1.2245095025318318</v>
      </c>
      <c r="I139">
        <f t="shared" si="29"/>
        <v>39.174805768205552</v>
      </c>
      <c r="J139">
        <f>-0.5*H139*I139*AK139*'Input data'!$B$19*(B139-F139)/AF139</f>
        <v>-9.3889966565560118E-2</v>
      </c>
      <c r="K139">
        <f>-0.5*H139*I139*AK139*'Input data'!$B$19*(C139-G139)/AF139</f>
        <v>0</v>
      </c>
      <c r="L139">
        <f>(-0.5*H139*AK139*I139*'Input data'!$B$19*D139/AF139)-'Input data'!$B$23</f>
        <v>-0.65962793936455988</v>
      </c>
      <c r="M139">
        <f>IF(AF139&gt;0,IF(P138&lt;=Param_1,M138,M138+(B140*'Input data'!$B$24)),M138)</f>
        <v>85.650398150927444</v>
      </c>
      <c r="N139">
        <f>IF(AF139&gt;0,IF(P138&lt;=Param_1,N138,N138+(C140*'Input data'!$B$24)),N138)</f>
        <v>0</v>
      </c>
      <c r="O139">
        <f t="shared" si="28"/>
        <v>0</v>
      </c>
      <c r="P139">
        <f>IF(P138&lt;=-100000,0,IF(AF139&gt;0,IF(P138&lt;Param_1,P138,P138+(D140*'Input data'!$B$24)),P138))</f>
        <v>-38.567053251244758</v>
      </c>
      <c r="Q139">
        <f t="shared" si="30"/>
        <v>85.650398150927444</v>
      </c>
      <c r="T139">
        <f t="shared" si="31"/>
        <v>0</v>
      </c>
      <c r="U139">
        <f t="shared" si="32"/>
        <v>0</v>
      </c>
      <c r="V139" s="74">
        <f>IF(X139=0,'Input data'!$Q$22,Q139)</f>
        <v>80.034601194491032</v>
      </c>
      <c r="W139" s="74">
        <f>IF(U139=0,'Input data'!$Q$23,U139)</f>
        <v>0</v>
      </c>
      <c r="X139" s="74">
        <f t="shared" si="25"/>
        <v>0</v>
      </c>
      <c r="Y139">
        <f>IF(P138&lt;Param_1,Y138,A140*'Input data'!$B$25*SIN(RADIANS('Input data'!$B$10)))</f>
        <v>0</v>
      </c>
      <c r="Z139">
        <f>IF(P138&lt;Param_1,Z138,A140*'Input data'!$B$25*COS(RADIANS('Input data'!$B$10)))</f>
        <v>55.416666666666544</v>
      </c>
      <c r="AA139">
        <f t="shared" si="36"/>
        <v>13.299999999999969</v>
      </c>
      <c r="AB139">
        <f t="shared" si="37"/>
        <v>5.1999999999999975</v>
      </c>
      <c r="AC139">
        <f>IF(ROUND(A139*10,3)='Input data'!$B$14*10,M139,0)</f>
        <v>0</v>
      </c>
      <c r="AD139">
        <f>IF(ROUND(A139*10,3)='Input data'!$B$14*10,N139,0)</f>
        <v>0</v>
      </c>
      <c r="AE139">
        <f>IF(ROUND(A139*10,3)='Input data'!$B$14*10,P139,0)</f>
        <v>0</v>
      </c>
      <c r="AF139">
        <f>IF('Input data'!$B$26="C",IF((3.14159265*1860/4)*((0.001*'Input data'!$B$20)-(2*'Input data'!$B$28*A139))^2*((0.33333*0.001*'Input data'!$B$20)-(2*'Input data'!$B$28*A139))&lt;0,(3.14159265*1860/4)*((0.001*'Input data'!$B$20)-(2*'Input data'!$B$28*A139))^2*((0.33333*0.001*'Input data'!$B$20)-(2*'Input data'!$B$28*A139)),(3.14159265*1860/4)*((0.001*'Input data'!$B$20)-(2*'Input data'!$B$28*A139))^2*((0.33333*0.001*'Input data'!$B$20)-(2*'Input data'!$B$28*A139))),'Input data'!$B$21)</f>
        <v>0.40680208090393727</v>
      </c>
      <c r="AG139">
        <f t="shared" si="33"/>
        <v>0</v>
      </c>
      <c r="AH139">
        <f t="shared" si="34"/>
        <v>0</v>
      </c>
      <c r="AI139">
        <f t="shared" si="27"/>
        <v>0</v>
      </c>
      <c r="AJ139">
        <f t="shared" si="35"/>
        <v>3000</v>
      </c>
      <c r="AK139">
        <f>IF('Input data'!$B$26="S",'Input data'!$B$22,3.1415*(('Input data'!$B$20*0.0005)-('Input data'!$B$28*A139))^2)</f>
        <v>7.8539816250000026E-3</v>
      </c>
    </row>
    <row r="140" spans="1:37" x14ac:dyDescent="0.2">
      <c r="A140" s="9">
        <f>A139+'Input data'!$B$24</f>
        <v>13.299999999999969</v>
      </c>
      <c r="B140">
        <f>B139+(J139*'Input data'!$B$24)</f>
        <v>5.5483485305597187</v>
      </c>
      <c r="C140">
        <f>C139+(K139*'Input data'!$B$24)</f>
        <v>0</v>
      </c>
      <c r="D140">
        <f>D139+(L139*'Input data'!$B$24)</f>
        <v>-39.238704236824084</v>
      </c>
      <c r="E140">
        <f>IF('Input data'!$B$13=2,'Input data'!$B$25*((0.1036*LN(ABS(P139+1)))+0.8731),IF('Input data'!$B$13=3,'Input data'!$B$25*((0.139*LN(ABS(P139+1)))+0.7503),'Input data'!$B$25))</f>
        <v>5.2031950042410795</v>
      </c>
      <c r="F140">
        <f>E140*COS(RADIANS('Input data'!$B$10))</f>
        <v>5.2031950042410795</v>
      </c>
      <c r="G140">
        <f>E140*SIN(RADIANS('Input data'!$B$10))</f>
        <v>0</v>
      </c>
      <c r="H140">
        <f>1.22*EXP(-0.0001065*(P139+'Input data'!$B$12))</f>
        <v>1.2250213224372399</v>
      </c>
      <c r="I140">
        <f t="shared" si="29"/>
        <v>39.24022223614039</v>
      </c>
      <c r="J140">
        <f>-0.5*H140*I140*AK140*'Input data'!$B$19*(B140-F140)/AF140</f>
        <v>-8.0748752586491113E-2</v>
      </c>
      <c r="K140">
        <f>-0.5*H140*I140*AK140*'Input data'!$B$19*(C140-G140)/AF140</f>
        <v>0</v>
      </c>
      <c r="L140">
        <f>(-0.5*H140*AK140*I140*'Input data'!$B$19*D140/AF140)-'Input data'!$B$23</f>
        <v>-0.62509546873720367</v>
      </c>
      <c r="M140">
        <f>IF(AF140&gt;0,IF(P139&lt;=Param_1,M139,M139+(B141*'Input data'!$B$24)),M139)</f>
        <v>86.204425516457547</v>
      </c>
      <c r="N140">
        <f>IF(AF140&gt;0,IF(P139&lt;=Param_1,N139,N139+(C141*'Input data'!$B$24)),N139)</f>
        <v>0</v>
      </c>
      <c r="O140">
        <f t="shared" si="28"/>
        <v>0</v>
      </c>
      <c r="P140">
        <f>IF(P139&lt;=-100000,0,IF(AF140&gt;0,IF(P139&lt;Param_1,P139,P139+(D141*'Input data'!$B$24)),P139))</f>
        <v>-42.497174629614541</v>
      </c>
      <c r="Q140">
        <f t="shared" si="30"/>
        <v>86.204425516457547</v>
      </c>
      <c r="T140">
        <f t="shared" si="31"/>
        <v>0</v>
      </c>
      <c r="U140">
        <f t="shared" si="32"/>
        <v>0</v>
      </c>
      <c r="V140" s="74">
        <f>IF(X140=0,'Input data'!$Q$22,Q140)</f>
        <v>80.034601194491032</v>
      </c>
      <c r="W140" s="74">
        <f>IF(U140=0,'Input data'!$Q$23,U140)</f>
        <v>0</v>
      </c>
      <c r="X140" s="74">
        <f t="shared" si="25"/>
        <v>0</v>
      </c>
      <c r="Y140">
        <f>IF(P139&lt;Param_1,Y139,A141*'Input data'!$B$25*SIN(RADIANS('Input data'!$B$10)))</f>
        <v>0</v>
      </c>
      <c r="Z140">
        <f>IF(P139&lt;Param_1,Z139,A141*'Input data'!$B$25*COS(RADIANS('Input data'!$B$10)))</f>
        <v>55.833333333333208</v>
      </c>
      <c r="AA140">
        <f t="shared" si="36"/>
        <v>13.399999999999968</v>
      </c>
      <c r="AB140">
        <f t="shared" si="37"/>
        <v>5.1999999999999975</v>
      </c>
      <c r="AC140">
        <f>IF(ROUND(A140*10,3)='Input data'!$B$14*10,M140,0)</f>
        <v>0</v>
      </c>
      <c r="AD140">
        <f>IF(ROUND(A140*10,3)='Input data'!$B$14*10,N140,0)</f>
        <v>0</v>
      </c>
      <c r="AE140">
        <f>IF(ROUND(A140*10,3)='Input data'!$B$14*10,P140,0)</f>
        <v>0</v>
      </c>
      <c r="AF140">
        <f>IF('Input data'!$B$26="C",IF((3.14159265*1860/4)*((0.001*'Input data'!$B$20)-(2*'Input data'!$B$28*A140))^2*((0.33333*0.001*'Input data'!$B$20)-(2*'Input data'!$B$28*A140))&lt;0,(3.14159265*1860/4)*((0.001*'Input data'!$B$20)-(2*'Input data'!$B$28*A140))^2*((0.33333*0.001*'Input data'!$B$20)-(2*'Input data'!$B$28*A140)),(3.14159265*1860/4)*((0.001*'Input data'!$B$20)-(2*'Input data'!$B$28*A140))^2*((0.33333*0.001*'Input data'!$B$20)-(2*'Input data'!$B$28*A140))),'Input data'!$B$21)</f>
        <v>0.40680208090393727</v>
      </c>
      <c r="AG140">
        <f t="shared" si="33"/>
        <v>0</v>
      </c>
      <c r="AH140">
        <f t="shared" si="34"/>
        <v>0</v>
      </c>
      <c r="AI140">
        <f t="shared" si="27"/>
        <v>0</v>
      </c>
      <c r="AJ140">
        <f t="shared" si="35"/>
        <v>3000</v>
      </c>
      <c r="AK140">
        <f>IF('Input data'!$B$26="S",'Input data'!$B$22,3.1415*(('Input data'!$B$20*0.0005)-('Input data'!$B$28*A140))^2)</f>
        <v>7.8539816250000026E-3</v>
      </c>
    </row>
    <row r="141" spans="1:37" x14ac:dyDescent="0.2">
      <c r="A141" s="9">
        <f>A140+'Input data'!$B$24</f>
        <v>13.399999999999968</v>
      </c>
      <c r="B141">
        <f>B140+(J140*'Input data'!$B$24)</f>
        <v>5.5402736553010694</v>
      </c>
      <c r="C141">
        <f>C140+(K140*'Input data'!$B$24)</f>
        <v>0</v>
      </c>
      <c r="D141">
        <f>D140+(L140*'Input data'!$B$24)</f>
        <v>-39.301213783697804</v>
      </c>
      <c r="E141">
        <f>IF('Input data'!$B$13=2,'Input data'!$B$25*((0.1036*LN(ABS(P140+1)))+0.8731),IF('Input data'!$B$13=3,'Input data'!$B$25*((0.139*LN(ABS(P140+1)))+0.7503),'Input data'!$B$25))</f>
        <v>5.2461449400326217</v>
      </c>
      <c r="F141">
        <f>E141*COS(RADIANS('Input data'!$B$10))</f>
        <v>5.2461449400326217</v>
      </c>
      <c r="G141">
        <f>E141*SIN(RADIANS('Input data'!$B$10))</f>
        <v>0</v>
      </c>
      <c r="H141">
        <f>1.22*EXP(-0.0001065*(P140+'Input data'!$B$12))</f>
        <v>1.2255341721434083</v>
      </c>
      <c r="I141">
        <f t="shared" si="29"/>
        <v>39.302314392069377</v>
      </c>
      <c r="J141">
        <f>-0.5*H141*I141*AK141*'Input data'!$B$19*(B141-F141)/AF141</f>
        <v>-6.8949223203677829E-2</v>
      </c>
      <c r="K141">
        <f>-0.5*H141*I141*AK141*'Input data'!$B$19*(C141-G141)/AF141</f>
        <v>0</v>
      </c>
      <c r="L141">
        <f>(-0.5*H141*AK141*I141*'Input data'!$B$19*D141/AF141)-'Input data'!$B$23</f>
        <v>-0.59206695171041623</v>
      </c>
      <c r="M141">
        <f>IF(AF141&gt;0,IF(P140&lt;=Param_1,M140,M140+(B142*'Input data'!$B$24)),M140)</f>
        <v>86.757763389755624</v>
      </c>
      <c r="N141">
        <f>IF(AF141&gt;0,IF(P140&lt;=Param_1,N140,N140+(C142*'Input data'!$B$24)),N140)</f>
        <v>0</v>
      </c>
      <c r="O141">
        <f t="shared" si="28"/>
        <v>0</v>
      </c>
      <c r="P141">
        <f>IF(P140&lt;=-100000,0,IF(AF141&gt;0,IF(P140&lt;Param_1,P140,P140+(D142*'Input data'!$B$24)),P140))</f>
        <v>-46.433216677501427</v>
      </c>
      <c r="Q141">
        <f t="shared" si="30"/>
        <v>86.757763389755624</v>
      </c>
      <c r="T141">
        <f t="shared" si="31"/>
        <v>0</v>
      </c>
      <c r="U141">
        <f t="shared" si="32"/>
        <v>0</v>
      </c>
      <c r="V141" s="74">
        <f>IF(X141=0,'Input data'!$Q$22,Q141)</f>
        <v>80.034601194491032</v>
      </c>
      <c r="W141" s="74">
        <f>IF(U141=0,'Input data'!$Q$23,U141)</f>
        <v>0</v>
      </c>
      <c r="X141" s="74">
        <f t="shared" si="25"/>
        <v>0</v>
      </c>
      <c r="Y141">
        <f>IF(P140&lt;Param_1,Y140,A142*'Input data'!$B$25*SIN(RADIANS('Input data'!$B$10)))</f>
        <v>0</v>
      </c>
      <c r="Z141">
        <f>IF(P140&lt;Param_1,Z140,A142*'Input data'!$B$25*COS(RADIANS('Input data'!$B$10)))</f>
        <v>56.249999999999872</v>
      </c>
      <c r="AA141">
        <f t="shared" si="36"/>
        <v>13.499999999999968</v>
      </c>
      <c r="AB141">
        <f t="shared" si="37"/>
        <v>5.1999999999999975</v>
      </c>
      <c r="AC141">
        <f>IF(ROUND(A141*10,3)='Input data'!$B$14*10,M141,0)</f>
        <v>0</v>
      </c>
      <c r="AD141">
        <f>IF(ROUND(A141*10,3)='Input data'!$B$14*10,N141,0)</f>
        <v>0</v>
      </c>
      <c r="AE141">
        <f>IF(ROUND(A141*10,3)='Input data'!$B$14*10,P141,0)</f>
        <v>0</v>
      </c>
      <c r="AF141">
        <f>IF('Input data'!$B$26="C",IF((3.14159265*1860/4)*((0.001*'Input data'!$B$20)-(2*'Input data'!$B$28*A141))^2*((0.33333*0.001*'Input data'!$B$20)-(2*'Input data'!$B$28*A141))&lt;0,(3.14159265*1860/4)*((0.001*'Input data'!$B$20)-(2*'Input data'!$B$28*A141))^2*((0.33333*0.001*'Input data'!$B$20)-(2*'Input data'!$B$28*A141)),(3.14159265*1860/4)*((0.001*'Input data'!$B$20)-(2*'Input data'!$B$28*A141))^2*((0.33333*0.001*'Input data'!$B$20)-(2*'Input data'!$B$28*A141))),'Input data'!$B$21)</f>
        <v>0.40680208090393727</v>
      </c>
      <c r="AG141">
        <f t="shared" si="33"/>
        <v>0</v>
      </c>
      <c r="AH141">
        <f t="shared" si="34"/>
        <v>0</v>
      </c>
      <c r="AI141">
        <f t="shared" si="27"/>
        <v>0</v>
      </c>
      <c r="AJ141">
        <f t="shared" si="35"/>
        <v>3000</v>
      </c>
      <c r="AK141">
        <f>IF('Input data'!$B$26="S",'Input data'!$B$22,3.1415*(('Input data'!$B$20*0.0005)-('Input data'!$B$28*A141))^2)</f>
        <v>7.8539816250000026E-3</v>
      </c>
    </row>
    <row r="142" spans="1:37" x14ac:dyDescent="0.2">
      <c r="A142" s="9">
        <f>A141+'Input data'!$B$24</f>
        <v>13.499999999999968</v>
      </c>
      <c r="B142">
        <f>B141+(J141*'Input data'!$B$24)</f>
        <v>5.5333787329807018</v>
      </c>
      <c r="C142">
        <f>C141+(K141*'Input data'!$B$24)</f>
        <v>0</v>
      </c>
      <c r="D142">
        <f>D141+(L141*'Input data'!$B$24)</f>
        <v>-39.360420478868846</v>
      </c>
      <c r="E142">
        <f>IF('Input data'!$B$13=2,'Input data'!$B$25*((0.1036*LN(ABS(P141+1)))+0.8731),IF('Input data'!$B$13=3,'Input data'!$B$25*((0.139*LN(ABS(P141+1)))+0.7503),'Input data'!$B$25))</f>
        <v>5.2852617699046327</v>
      </c>
      <c r="F142">
        <f>E142*COS(RADIANS('Input data'!$B$10))</f>
        <v>5.2852617699046327</v>
      </c>
      <c r="G142">
        <f>E142*SIN(RADIANS('Input data'!$B$10))</f>
        <v>0</v>
      </c>
      <c r="H142">
        <f>1.22*EXP(-0.0001065*(P141+'Input data'!$B$12))</f>
        <v>1.2260480096377431</v>
      </c>
      <c r="I142">
        <f t="shared" si="29"/>
        <v>39.361202500695072</v>
      </c>
      <c r="J142">
        <f>-0.5*H142*I142*AK142*'Input data'!$B$19*(B142-F142)/AF142</f>
        <v>-5.8274786650303036E-2</v>
      </c>
      <c r="K142">
        <f>-0.5*H142*I142*AK142*'Input data'!$B$19*(C142-G142)/AF142</f>
        <v>0</v>
      </c>
      <c r="L142">
        <f>(-0.5*H142*AK142*I142*'Input data'!$B$19*D142/AF142)-'Input data'!$B$23</f>
        <v>-0.56048855090137906</v>
      </c>
      <c r="M142">
        <f>IF(AF142&gt;0,IF(P141&lt;=Param_1,M141,M141+(B143*'Input data'!$B$24)),M141)</f>
        <v>87.310518515187198</v>
      </c>
      <c r="N142">
        <f>IF(AF142&gt;0,IF(P141&lt;=Param_1,N141,N141+(C143*'Input data'!$B$24)),N141)</f>
        <v>0</v>
      </c>
      <c r="O142">
        <f t="shared" si="28"/>
        <v>0</v>
      </c>
      <c r="P142">
        <f>IF(P141&lt;=-100000,0,IF(AF142&gt;0,IF(P141&lt;Param_1,P141,P141+(D143*'Input data'!$B$24)),P141))</f>
        <v>-50.374863610897329</v>
      </c>
      <c r="Q142">
        <f t="shared" si="30"/>
        <v>87.310518515187198</v>
      </c>
      <c r="T142">
        <f t="shared" si="31"/>
        <v>0</v>
      </c>
      <c r="U142">
        <f t="shared" si="32"/>
        <v>0</v>
      </c>
      <c r="V142" s="74">
        <f>IF(X142=0,'Input data'!$Q$22,Q142)</f>
        <v>80.034601194491032</v>
      </c>
      <c r="W142" s="74">
        <f>IF(U142=0,'Input data'!$Q$23,U142)</f>
        <v>0</v>
      </c>
      <c r="X142" s="74">
        <f t="shared" si="25"/>
        <v>0</v>
      </c>
      <c r="Y142">
        <f>IF(P141&lt;Param_1,Y141,A143*'Input data'!$B$25*SIN(RADIANS('Input data'!$B$10)))</f>
        <v>0</v>
      </c>
      <c r="Z142">
        <f>IF(P141&lt;Param_1,Z141,A143*'Input data'!$B$25*COS(RADIANS('Input data'!$B$10)))</f>
        <v>56.666666666666536</v>
      </c>
      <c r="AA142">
        <f t="shared" si="36"/>
        <v>13.599999999999968</v>
      </c>
      <c r="AB142">
        <f t="shared" si="37"/>
        <v>5.1999999999999975</v>
      </c>
      <c r="AC142">
        <f>IF(ROUND(A142*10,3)='Input data'!$B$14*10,M142,0)</f>
        <v>0</v>
      </c>
      <c r="AD142">
        <f>IF(ROUND(A142*10,3)='Input data'!$B$14*10,N142,0)</f>
        <v>0</v>
      </c>
      <c r="AE142">
        <f>IF(ROUND(A142*10,3)='Input data'!$B$14*10,P142,0)</f>
        <v>0</v>
      </c>
      <c r="AF142">
        <f>IF('Input data'!$B$26="C",IF((3.14159265*1860/4)*((0.001*'Input data'!$B$20)-(2*'Input data'!$B$28*A142))^2*((0.33333*0.001*'Input data'!$B$20)-(2*'Input data'!$B$28*A142))&lt;0,(3.14159265*1860/4)*((0.001*'Input data'!$B$20)-(2*'Input data'!$B$28*A142))^2*((0.33333*0.001*'Input data'!$B$20)-(2*'Input data'!$B$28*A142)),(3.14159265*1860/4)*((0.001*'Input data'!$B$20)-(2*'Input data'!$B$28*A142))^2*((0.33333*0.001*'Input data'!$B$20)-(2*'Input data'!$B$28*A142))),'Input data'!$B$21)</f>
        <v>0.40680208090393727</v>
      </c>
      <c r="AG142">
        <f t="shared" si="33"/>
        <v>0</v>
      </c>
      <c r="AH142">
        <f t="shared" si="34"/>
        <v>0</v>
      </c>
      <c r="AI142">
        <f t="shared" si="27"/>
        <v>0</v>
      </c>
      <c r="AJ142">
        <f t="shared" si="35"/>
        <v>3000</v>
      </c>
      <c r="AK142">
        <f>IF('Input data'!$B$26="S",'Input data'!$B$22,3.1415*(('Input data'!$B$20*0.0005)-('Input data'!$B$28*A142))^2)</f>
        <v>7.8539816250000026E-3</v>
      </c>
    </row>
    <row r="143" spans="1:37" x14ac:dyDescent="0.2">
      <c r="A143" s="9">
        <f>A142+'Input data'!$B$24</f>
        <v>13.599999999999968</v>
      </c>
      <c r="B143">
        <f>B142+(J142*'Input data'!$B$24)</f>
        <v>5.5275512543156715</v>
      </c>
      <c r="C143">
        <f>C142+(K142*'Input data'!$B$24)</f>
        <v>0</v>
      </c>
      <c r="D143">
        <f>D142+(L142*'Input data'!$B$24)</f>
        <v>-39.416469333958986</v>
      </c>
      <c r="E143">
        <f>IF('Input data'!$B$13=2,'Input data'!$B$25*((0.1036*LN(ABS(P142+1)))+0.8731),IF('Input data'!$B$13=3,'Input data'!$B$25*((0.139*LN(ABS(P142+1)))+0.7503),'Input data'!$B$25))</f>
        <v>5.3211755639579863</v>
      </c>
      <c r="F143">
        <f>E143*COS(RADIANS('Input data'!$B$10))</f>
        <v>5.3211755639579863</v>
      </c>
      <c r="G143">
        <f>E143*SIN(RADIANS('Input data'!$B$10))</f>
        <v>0</v>
      </c>
      <c r="H143">
        <f>1.22*EXP(-0.0001065*(P142+'Input data'!$B$12))</f>
        <v>1.2265627947320079</v>
      </c>
      <c r="I143">
        <f t="shared" si="29"/>
        <v>39.417009598401805</v>
      </c>
      <c r="J143">
        <f>-0.5*H143*I143*AK143*'Input data'!$B$19*(B143-F143)/AF143</f>
        <v>-4.8560192558421748E-2</v>
      </c>
      <c r="K143">
        <f>-0.5*H143*I143*AK143*'Input data'!$B$19*(C143-G143)/AF143</f>
        <v>0</v>
      </c>
      <c r="L143">
        <f>(-0.5*H143*AK143*I143*'Input data'!$B$19*D143/AF143)-'Input data'!$B$23</f>
        <v>-0.53030617577703332</v>
      </c>
      <c r="M143">
        <f>IF(AF143&gt;0,IF(P142&lt;=Param_1,M142,M142+(B144*'Input data'!$B$24)),M142)</f>
        <v>87.862788038693182</v>
      </c>
      <c r="N143">
        <f>IF(AF143&gt;0,IF(P142&lt;=Param_1,N142,N142+(C144*'Input data'!$B$24)),N142)</f>
        <v>0</v>
      </c>
      <c r="O143">
        <f t="shared" si="28"/>
        <v>0</v>
      </c>
      <c r="P143">
        <f>IF(P142&lt;=-100000,0,IF(AF143&gt;0,IF(P142&lt;Param_1,P142,P142+(D144*'Input data'!$B$24)),P142))</f>
        <v>-54.321813606050995</v>
      </c>
      <c r="Q143">
        <f t="shared" si="30"/>
        <v>87.862788038693182</v>
      </c>
      <c r="T143">
        <f t="shared" si="31"/>
        <v>0</v>
      </c>
      <c r="U143">
        <f t="shared" si="32"/>
        <v>0</v>
      </c>
      <c r="V143" s="74">
        <f>IF(X143=0,'Input data'!$Q$22,Q143)</f>
        <v>80.034601194491032</v>
      </c>
      <c r="W143" s="74">
        <f>IF(U143=0,'Input data'!$Q$23,U143)</f>
        <v>0</v>
      </c>
      <c r="X143" s="74">
        <f t="shared" si="25"/>
        <v>0</v>
      </c>
      <c r="Y143">
        <f>IF(P142&lt;Param_1,Y142,A144*'Input data'!$B$25*SIN(RADIANS('Input data'!$B$10)))</f>
        <v>0</v>
      </c>
      <c r="Z143">
        <f>IF(P142&lt;Param_1,Z142,A144*'Input data'!$B$25*COS(RADIANS('Input data'!$B$10)))</f>
        <v>57.083333333333201</v>
      </c>
      <c r="AA143">
        <f t="shared" si="36"/>
        <v>13.699999999999967</v>
      </c>
      <c r="AB143">
        <f t="shared" si="37"/>
        <v>5.1999999999999975</v>
      </c>
      <c r="AC143">
        <f>IF(ROUND(A143*10,3)='Input data'!$B$14*10,M143,0)</f>
        <v>0</v>
      </c>
      <c r="AD143">
        <f>IF(ROUND(A143*10,3)='Input data'!$B$14*10,N143,0)</f>
        <v>0</v>
      </c>
      <c r="AE143">
        <f>IF(ROUND(A143*10,3)='Input data'!$B$14*10,P143,0)</f>
        <v>0</v>
      </c>
      <c r="AF143">
        <f>IF('Input data'!$B$26="C",IF((3.14159265*1860/4)*((0.001*'Input data'!$B$20)-(2*'Input data'!$B$28*A143))^2*((0.33333*0.001*'Input data'!$B$20)-(2*'Input data'!$B$28*A143))&lt;0,(3.14159265*1860/4)*((0.001*'Input data'!$B$20)-(2*'Input data'!$B$28*A143))^2*((0.33333*0.001*'Input data'!$B$20)-(2*'Input data'!$B$28*A143)),(3.14159265*1860/4)*((0.001*'Input data'!$B$20)-(2*'Input data'!$B$28*A143))^2*((0.33333*0.001*'Input data'!$B$20)-(2*'Input data'!$B$28*A143))),'Input data'!$B$21)</f>
        <v>0.40680208090393727</v>
      </c>
      <c r="AG143">
        <f t="shared" si="33"/>
        <v>0</v>
      </c>
      <c r="AH143">
        <f t="shared" si="34"/>
        <v>0</v>
      </c>
      <c r="AI143">
        <f t="shared" si="27"/>
        <v>0</v>
      </c>
      <c r="AJ143">
        <f t="shared" si="35"/>
        <v>3000</v>
      </c>
      <c r="AK143">
        <f>IF('Input data'!$B$26="S",'Input data'!$B$22,3.1415*(('Input data'!$B$20*0.0005)-('Input data'!$B$28*A143))^2)</f>
        <v>7.8539816250000026E-3</v>
      </c>
    </row>
    <row r="144" spans="1:37" x14ac:dyDescent="0.2">
      <c r="A144" s="9">
        <f>A143+'Input data'!$B$24</f>
        <v>13.699999999999967</v>
      </c>
      <c r="B144">
        <f>B143+(J143*'Input data'!$B$24)</f>
        <v>5.5226952350598291</v>
      </c>
      <c r="C144">
        <f>C143+(K143*'Input data'!$B$24)</f>
        <v>0</v>
      </c>
      <c r="D144">
        <f>D143+(L143*'Input data'!$B$24)</f>
        <v>-39.46949995153669</v>
      </c>
      <c r="E144">
        <f>IF('Input data'!$B$13=2,'Input data'!$B$25*((0.1036*LN(ABS(P143+1)))+0.8731),IF('Input data'!$B$13=3,'Input data'!$B$25*((0.139*LN(ABS(P143+1)))+0.7503),'Input data'!$B$25))</f>
        <v>5.3543724777706165</v>
      </c>
      <c r="F144">
        <f>E144*COS(RADIANS('Input data'!$B$10))</f>
        <v>5.3543724777706165</v>
      </c>
      <c r="G144">
        <f>E144*SIN(RADIANS('Input data'!$B$10))</f>
        <v>0</v>
      </c>
      <c r="H144">
        <f>1.22*EXP(-0.0001065*(P143+'Input data'!$B$12))</f>
        <v>1.2270784889952822</v>
      </c>
      <c r="I144">
        <f t="shared" si="29"/>
        <v>39.469858866924973</v>
      </c>
      <c r="J144">
        <f>-0.5*H144*I144*AK144*'Input data'!$B$19*(B144-F144)/AF144</f>
        <v>-3.9676116242287819E-2</v>
      </c>
      <c r="K144">
        <f>-0.5*H144*I144*AK144*'Input data'!$B$19*(C144-G144)/AF144</f>
        <v>0</v>
      </c>
      <c r="L144">
        <f>(-0.5*H144*AK144*I144*'Input data'!$B$19*D144/AF144)-'Input data'!$B$23</f>
        <v>-0.5014661622584704</v>
      </c>
      <c r="M144">
        <f>IF(AF144&gt;0,IF(P143&lt;=Param_1,M143,M143+(B145*'Input data'!$B$24)),M143)</f>
        <v>88.414660801036746</v>
      </c>
      <c r="N144">
        <f>IF(AF144&gt;0,IF(P143&lt;=Param_1,N143,N143+(C145*'Input data'!$B$24)),N143)</f>
        <v>0</v>
      </c>
      <c r="O144">
        <f t="shared" si="28"/>
        <v>0</v>
      </c>
      <c r="P144">
        <f>IF(P143&lt;=-100000,0,IF(AF144&gt;0,IF(P143&lt;Param_1,P143,P143+(D145*'Input data'!$B$24)),P143))</f>
        <v>-58.27377826282725</v>
      </c>
      <c r="Q144">
        <f t="shared" si="30"/>
        <v>88.414660801036746</v>
      </c>
      <c r="T144">
        <f t="shared" si="31"/>
        <v>0</v>
      </c>
      <c r="U144">
        <f t="shared" si="32"/>
        <v>0</v>
      </c>
      <c r="V144" s="74">
        <f>IF(X144=0,'Input data'!$Q$22,Q144)</f>
        <v>80.034601194491032</v>
      </c>
      <c r="W144" s="74">
        <f>IF(U144=0,'Input data'!$Q$23,U144)</f>
        <v>0</v>
      </c>
      <c r="X144" s="74">
        <f t="shared" si="25"/>
        <v>0</v>
      </c>
      <c r="Y144">
        <f>IF(P143&lt;Param_1,Y143,A145*'Input data'!$B$25*SIN(RADIANS('Input data'!$B$10)))</f>
        <v>0</v>
      </c>
      <c r="Z144">
        <f>IF(P143&lt;Param_1,Z143,A145*'Input data'!$B$25*COS(RADIANS('Input data'!$B$10)))</f>
        <v>57.499999999999865</v>
      </c>
      <c r="AA144">
        <f t="shared" si="36"/>
        <v>13.799999999999967</v>
      </c>
      <c r="AB144">
        <f t="shared" si="37"/>
        <v>5.1999999999999975</v>
      </c>
      <c r="AC144">
        <f>IF(ROUND(A144*10,3)='Input data'!$B$14*10,M144,0)</f>
        <v>0</v>
      </c>
      <c r="AD144">
        <f>IF(ROUND(A144*10,3)='Input data'!$B$14*10,N144,0)</f>
        <v>0</v>
      </c>
      <c r="AE144">
        <f>IF(ROUND(A144*10,3)='Input data'!$B$14*10,P144,0)</f>
        <v>0</v>
      </c>
      <c r="AF144">
        <f>IF('Input data'!$B$26="C",IF((3.14159265*1860/4)*((0.001*'Input data'!$B$20)-(2*'Input data'!$B$28*A144))^2*((0.33333*0.001*'Input data'!$B$20)-(2*'Input data'!$B$28*A144))&lt;0,(3.14159265*1860/4)*((0.001*'Input data'!$B$20)-(2*'Input data'!$B$28*A144))^2*((0.33333*0.001*'Input data'!$B$20)-(2*'Input data'!$B$28*A144)),(3.14159265*1860/4)*((0.001*'Input data'!$B$20)-(2*'Input data'!$B$28*A144))^2*((0.33333*0.001*'Input data'!$B$20)-(2*'Input data'!$B$28*A144))),'Input data'!$B$21)</f>
        <v>0.40680208090393727</v>
      </c>
      <c r="AG144">
        <f t="shared" si="33"/>
        <v>0</v>
      </c>
      <c r="AH144">
        <f t="shared" si="34"/>
        <v>0</v>
      </c>
      <c r="AI144">
        <f t="shared" si="27"/>
        <v>0</v>
      </c>
      <c r="AJ144">
        <f t="shared" si="35"/>
        <v>3000</v>
      </c>
      <c r="AK144">
        <f>IF('Input data'!$B$26="S",'Input data'!$B$22,3.1415*(('Input data'!$B$20*0.0005)-('Input data'!$B$28*A144))^2)</f>
        <v>7.8539816250000026E-3</v>
      </c>
    </row>
    <row r="145" spans="1:37" x14ac:dyDescent="0.2">
      <c r="A145" s="9">
        <f>A144+'Input data'!$B$24</f>
        <v>13.799999999999967</v>
      </c>
      <c r="B145">
        <f>B144+(J144*'Input data'!$B$24)</f>
        <v>5.5187276234356002</v>
      </c>
      <c r="C145">
        <f>C144+(K144*'Input data'!$B$24)</f>
        <v>0</v>
      </c>
      <c r="D145">
        <f>D144+(L144*'Input data'!$B$24)</f>
        <v>-39.519646567762535</v>
      </c>
      <c r="E145">
        <f>IF('Input data'!$B$13=2,'Input data'!$B$25*((0.1036*LN(ABS(P144+1)))+0.8731),IF('Input data'!$B$13=3,'Input data'!$B$25*((0.139*LN(ABS(P144+1)))+0.7503),'Input data'!$B$25))</f>
        <v>5.3852355172221076</v>
      </c>
      <c r="F145">
        <f>E145*COS(RADIANS('Input data'!$B$10))</f>
        <v>5.3852355172221076</v>
      </c>
      <c r="G145">
        <f>E145*SIN(RADIANS('Input data'!$B$10))</f>
        <v>0</v>
      </c>
      <c r="H145">
        <f>1.22*EXP(-0.0001065*(P144+'Input data'!$B$12))</f>
        <v>1.227595055687333</v>
      </c>
      <c r="I145">
        <f t="shared" si="29"/>
        <v>39.519872026403206</v>
      </c>
      <c r="J145">
        <f>-0.5*H145*I145*AK145*'Input data'!$B$19*(B145-F145)/AF145</f>
        <v>-3.1519160841081396E-2</v>
      </c>
      <c r="K145">
        <f>-0.5*H145*I145*AK145*'Input data'!$B$19*(C145-G145)/AF145</f>
        <v>0</v>
      </c>
      <c r="L145">
        <f>(-0.5*H145*AK145*I145*'Input data'!$B$19*D145/AF145)-'Input data'!$B$23</f>
        <v>-0.47391569933071409</v>
      </c>
      <c r="M145">
        <f>IF(AF145&gt;0,IF(P144&lt;=Param_1,M144,M144+(B146*'Input data'!$B$24)),M144)</f>
        <v>88.966218371771902</v>
      </c>
      <c r="N145">
        <f>IF(AF145&gt;0,IF(P144&lt;=Param_1,N144,N144+(C146*'Input data'!$B$24)),N144)</f>
        <v>0</v>
      </c>
      <c r="O145">
        <f t="shared" si="28"/>
        <v>0</v>
      </c>
      <c r="P145">
        <f>IF(P144&lt;=-100000,0,IF(AF145&gt;0,IF(P144&lt;Param_1,P144,P144+(D146*'Input data'!$B$24)),P144))</f>
        <v>-62.230482076596807</v>
      </c>
      <c r="Q145">
        <f t="shared" si="30"/>
        <v>88.966218371771902</v>
      </c>
      <c r="T145">
        <f t="shared" si="31"/>
        <v>0</v>
      </c>
      <c r="U145">
        <f t="shared" si="32"/>
        <v>0</v>
      </c>
      <c r="V145" s="74">
        <f>IF(X145=0,'Input data'!$Q$22,Q145)</f>
        <v>80.034601194491032</v>
      </c>
      <c r="W145" s="74">
        <f>IF(U145=0,'Input data'!$Q$23,U145)</f>
        <v>0</v>
      </c>
      <c r="X145" s="74">
        <f t="shared" si="25"/>
        <v>0</v>
      </c>
      <c r="Y145">
        <f>IF(P144&lt;Param_1,Y144,A146*'Input data'!$B$25*SIN(RADIANS('Input data'!$B$10)))</f>
        <v>0</v>
      </c>
      <c r="Z145">
        <f>IF(P144&lt;Param_1,Z144,A146*'Input data'!$B$25*COS(RADIANS('Input data'!$B$10)))</f>
        <v>57.916666666666529</v>
      </c>
      <c r="AA145">
        <f t="shared" si="36"/>
        <v>13.899999999999967</v>
      </c>
      <c r="AB145">
        <f t="shared" si="37"/>
        <v>5.1999999999999975</v>
      </c>
      <c r="AC145">
        <f>IF(ROUND(A145*10,3)='Input data'!$B$14*10,M145,0)</f>
        <v>0</v>
      </c>
      <c r="AD145">
        <f>IF(ROUND(A145*10,3)='Input data'!$B$14*10,N145,0)</f>
        <v>0</v>
      </c>
      <c r="AE145">
        <f>IF(ROUND(A145*10,3)='Input data'!$B$14*10,P145,0)</f>
        <v>0</v>
      </c>
      <c r="AF145">
        <f>IF('Input data'!$B$26="C",IF((3.14159265*1860/4)*((0.001*'Input data'!$B$20)-(2*'Input data'!$B$28*A145))^2*((0.33333*0.001*'Input data'!$B$20)-(2*'Input data'!$B$28*A145))&lt;0,(3.14159265*1860/4)*((0.001*'Input data'!$B$20)-(2*'Input data'!$B$28*A145))^2*((0.33333*0.001*'Input data'!$B$20)-(2*'Input data'!$B$28*A145)),(3.14159265*1860/4)*((0.001*'Input data'!$B$20)-(2*'Input data'!$B$28*A145))^2*((0.33333*0.001*'Input data'!$B$20)-(2*'Input data'!$B$28*A145))),'Input data'!$B$21)</f>
        <v>0.40680208090393727</v>
      </c>
      <c r="AG145">
        <f t="shared" si="33"/>
        <v>0</v>
      </c>
      <c r="AH145">
        <f t="shared" si="34"/>
        <v>0</v>
      </c>
      <c r="AI145">
        <f t="shared" si="27"/>
        <v>0</v>
      </c>
      <c r="AJ145">
        <f t="shared" si="35"/>
        <v>3000</v>
      </c>
      <c r="AK145">
        <f>IF('Input data'!$B$26="S",'Input data'!$B$22,3.1415*(('Input data'!$B$20*0.0005)-('Input data'!$B$28*A145))^2)</f>
        <v>7.8539816250000026E-3</v>
      </c>
    </row>
    <row r="146" spans="1:37" x14ac:dyDescent="0.2">
      <c r="A146" s="9">
        <f>A145+'Input data'!$B$24</f>
        <v>13.899999999999967</v>
      </c>
      <c r="B146">
        <f>B145+(J145*'Input data'!$B$24)</f>
        <v>5.5155757073514922</v>
      </c>
      <c r="C146">
        <f>C145+(K145*'Input data'!$B$24)</f>
        <v>0</v>
      </c>
      <c r="D146">
        <f>D145+(L145*'Input data'!$B$24)</f>
        <v>-39.567038137695604</v>
      </c>
      <c r="E146">
        <f>IF('Input data'!$B$13=2,'Input data'!$B$25*((0.1036*LN(ABS(P145+1)))+0.8731),IF('Input data'!$B$13=3,'Input data'!$B$25*((0.139*LN(ABS(P145+1)))+0.7503),'Input data'!$B$25))</f>
        <v>5.4140718181916991</v>
      </c>
      <c r="F146">
        <f>E146*COS(RADIANS('Input data'!$B$10))</f>
        <v>5.4140718181916991</v>
      </c>
      <c r="G146">
        <f>E146*SIN(RADIANS('Input data'!$B$10))</f>
        <v>0</v>
      </c>
      <c r="H146">
        <f>1.22*EXP(-0.0001065*(P145+'Input data'!$B$12))</f>
        <v>1.2281124596929549</v>
      </c>
      <c r="I146">
        <f t="shared" si="29"/>
        <v>39.567168334736479</v>
      </c>
      <c r="J146">
        <f>-0.5*H146*I146*AK146*'Input data'!$B$19*(B146-F146)/AF146</f>
        <v>-2.4005137159764836E-2</v>
      </c>
      <c r="K146">
        <f>-0.5*H146*I146*AK146*'Input data'!$B$19*(C146-G146)/AF146</f>
        <v>0</v>
      </c>
      <c r="L146">
        <f>(-0.5*H146*AK146*I146*'Input data'!$B$19*D146/AF146)-'Input data'!$B$23</f>
        <v>-0.44760310256898173</v>
      </c>
      <c r="M146">
        <f>IF(AF146&gt;0,IF(P145&lt;=Param_1,M145,M145+(B147*'Input data'!$B$24)),M145)</f>
        <v>89.517535891135452</v>
      </c>
      <c r="N146">
        <f>IF(AF146&gt;0,IF(P145&lt;=Param_1,N145,N145+(C147*'Input data'!$B$24)),N145)</f>
        <v>0</v>
      </c>
      <c r="O146">
        <f t="shared" si="28"/>
        <v>0</v>
      </c>
      <c r="P146">
        <f>IF(P145&lt;=-100000,0,IF(AF146&gt;0,IF(P145&lt;Param_1,P145,P145+(D147*'Input data'!$B$24)),P145))</f>
        <v>-66.191661921392054</v>
      </c>
      <c r="Q146">
        <f t="shared" si="30"/>
        <v>89.517535891135452</v>
      </c>
      <c r="T146">
        <f t="shared" si="31"/>
        <v>0</v>
      </c>
      <c r="U146">
        <f t="shared" si="32"/>
        <v>0</v>
      </c>
      <c r="V146" s="74">
        <f>IF(X146=0,'Input data'!$Q$22,Q146)</f>
        <v>80.034601194491032</v>
      </c>
      <c r="W146" s="74">
        <f>IF(U146=0,'Input data'!$Q$23,U146)</f>
        <v>0</v>
      </c>
      <c r="X146" s="74">
        <f t="shared" si="25"/>
        <v>0</v>
      </c>
      <c r="Y146">
        <f>IF(P145&lt;Param_1,Y145,A147*'Input data'!$B$25*SIN(RADIANS('Input data'!$B$10)))</f>
        <v>0</v>
      </c>
      <c r="Z146">
        <f>IF(P145&lt;Param_1,Z145,A147*'Input data'!$B$25*COS(RADIANS('Input data'!$B$10)))</f>
        <v>58.333333333333194</v>
      </c>
      <c r="AA146">
        <f t="shared" si="36"/>
        <v>13.999999999999966</v>
      </c>
      <c r="AB146">
        <f t="shared" si="37"/>
        <v>5.1999999999999975</v>
      </c>
      <c r="AC146">
        <f>IF(ROUND(A146*10,3)='Input data'!$B$14*10,M146,0)</f>
        <v>0</v>
      </c>
      <c r="AD146">
        <f>IF(ROUND(A146*10,3)='Input data'!$B$14*10,N146,0)</f>
        <v>0</v>
      </c>
      <c r="AE146">
        <f>IF(ROUND(A146*10,3)='Input data'!$B$14*10,P146,0)</f>
        <v>0</v>
      </c>
      <c r="AF146">
        <f>IF('Input data'!$B$26="C",IF((3.14159265*1860/4)*((0.001*'Input data'!$B$20)-(2*'Input data'!$B$28*A146))^2*((0.33333*0.001*'Input data'!$B$20)-(2*'Input data'!$B$28*A146))&lt;0,(3.14159265*1860/4)*((0.001*'Input data'!$B$20)-(2*'Input data'!$B$28*A146))^2*((0.33333*0.001*'Input data'!$B$20)-(2*'Input data'!$B$28*A146)),(3.14159265*1860/4)*((0.001*'Input data'!$B$20)-(2*'Input data'!$B$28*A146))^2*((0.33333*0.001*'Input data'!$B$20)-(2*'Input data'!$B$28*A146))),'Input data'!$B$21)</f>
        <v>0.40680208090393727</v>
      </c>
      <c r="AG146">
        <f t="shared" si="33"/>
        <v>0</v>
      </c>
      <c r="AH146">
        <f t="shared" si="34"/>
        <v>0</v>
      </c>
      <c r="AI146">
        <f t="shared" si="27"/>
        <v>0</v>
      </c>
      <c r="AJ146">
        <f t="shared" si="35"/>
        <v>3000</v>
      </c>
      <c r="AK146">
        <f>IF('Input data'!$B$26="S",'Input data'!$B$22,3.1415*(('Input data'!$B$20*0.0005)-('Input data'!$B$28*A146))^2)</f>
        <v>7.8539816250000026E-3</v>
      </c>
    </row>
    <row r="147" spans="1:37" x14ac:dyDescent="0.2">
      <c r="A147" s="9">
        <f>A146+'Input data'!$B$24</f>
        <v>13.999999999999966</v>
      </c>
      <c r="B147">
        <f>B146+(J146*'Input data'!$B$24)</f>
        <v>5.513175193635516</v>
      </c>
      <c r="C147">
        <f>C146+(K146*'Input data'!$B$24)</f>
        <v>0</v>
      </c>
      <c r="D147">
        <f>D146+(L146*'Input data'!$B$24)</f>
        <v>-39.611798447952502</v>
      </c>
      <c r="E147">
        <f>IF('Input data'!$B$13=2,'Input data'!$B$25*((0.1036*LN(ABS(P146+1)))+0.8731),IF('Input data'!$B$13=3,'Input data'!$B$25*((0.139*LN(ABS(P146+1)))+0.7503),'Input data'!$B$25))</f>
        <v>5.4411314636889703</v>
      </c>
      <c r="F147">
        <f>E147*COS(RADIANS('Input data'!$B$10))</f>
        <v>5.4411314636889703</v>
      </c>
      <c r="G147">
        <f>E147*SIN(RADIANS('Input data'!$B$10))</f>
        <v>0</v>
      </c>
      <c r="H147">
        <f>1.22*EXP(-0.0001065*(P146+'Input data'!$B$12))</f>
        <v>1.2286306674576419</v>
      </c>
      <c r="I147">
        <f t="shared" si="29"/>
        <v>39.61186396245747</v>
      </c>
      <c r="J147">
        <f>-0.5*H147*I147*AK147*'Input data'!$B$19*(B147-F147)/AF147</f>
        <v>-1.7064407785855593E-2</v>
      </c>
      <c r="K147">
        <f>-0.5*H147*I147*AK147*'Input data'!$B$19*(C147-G147)/AF147</f>
        <v>0</v>
      </c>
      <c r="L147">
        <f>(-0.5*H147*AK147*I147*'Input data'!$B$19*D147/AF147)-'Input data'!$B$23</f>
        <v>-0.42247799081864557</v>
      </c>
      <c r="M147">
        <f>IF(AF147&gt;0,IF(P146&lt;=Param_1,M146,M146+(B148*'Input data'!$B$24)),M146)</f>
        <v>90.068682766421148</v>
      </c>
      <c r="N147">
        <f>IF(AF147&gt;0,IF(P146&lt;=Param_1,N146,N146+(C148*'Input data'!$B$24)),N146)</f>
        <v>0</v>
      </c>
      <c r="O147">
        <f t="shared" si="28"/>
        <v>0</v>
      </c>
      <c r="P147">
        <f>IF(P146&lt;=-100000,0,IF(AF147&gt;0,IF(P146&lt;Param_1,P146,P146+(D148*'Input data'!$B$24)),P146))</f>
        <v>-70.157066546095493</v>
      </c>
      <c r="Q147">
        <f t="shared" si="30"/>
        <v>90.068682766421148</v>
      </c>
      <c r="T147">
        <f t="shared" si="31"/>
        <v>0</v>
      </c>
      <c r="U147">
        <f t="shared" si="32"/>
        <v>0</v>
      </c>
      <c r="V147" s="74">
        <f>IF(X147=0,'Input data'!$Q$22,Q147)</f>
        <v>80.034601194491032</v>
      </c>
      <c r="W147" s="74">
        <f>IF(U147=0,'Input data'!$Q$23,U147)</f>
        <v>0</v>
      </c>
      <c r="X147" s="74">
        <f t="shared" si="25"/>
        <v>0</v>
      </c>
      <c r="Y147">
        <f>IF(P146&lt;Param_1,Y146,A148*'Input data'!$B$25*SIN(RADIANS('Input data'!$B$10)))</f>
        <v>0</v>
      </c>
      <c r="Z147">
        <f>IF(P146&lt;Param_1,Z146,A148*'Input data'!$B$25*COS(RADIANS('Input data'!$B$10)))</f>
        <v>58.749999999999865</v>
      </c>
      <c r="AA147">
        <f t="shared" si="36"/>
        <v>14.099999999999966</v>
      </c>
      <c r="AB147">
        <f t="shared" si="37"/>
        <v>5.1999999999999975</v>
      </c>
      <c r="AC147">
        <f>IF(ROUND(A147*10,3)='Input data'!$B$14*10,M147,0)</f>
        <v>0</v>
      </c>
      <c r="AD147">
        <f>IF(ROUND(A147*10,3)='Input data'!$B$14*10,N147,0)</f>
        <v>0</v>
      </c>
      <c r="AE147">
        <f>IF(ROUND(A147*10,3)='Input data'!$B$14*10,P147,0)</f>
        <v>0</v>
      </c>
      <c r="AF147">
        <f>IF('Input data'!$B$26="C",IF((3.14159265*1860/4)*((0.001*'Input data'!$B$20)-(2*'Input data'!$B$28*A147))^2*((0.33333*0.001*'Input data'!$B$20)-(2*'Input data'!$B$28*A147))&lt;0,(3.14159265*1860/4)*((0.001*'Input data'!$B$20)-(2*'Input data'!$B$28*A147))^2*((0.33333*0.001*'Input data'!$B$20)-(2*'Input data'!$B$28*A147)),(3.14159265*1860/4)*((0.001*'Input data'!$B$20)-(2*'Input data'!$B$28*A147))^2*((0.33333*0.001*'Input data'!$B$20)-(2*'Input data'!$B$28*A147))),'Input data'!$B$21)</f>
        <v>0.40680208090393727</v>
      </c>
      <c r="AG147">
        <f t="shared" si="33"/>
        <v>0</v>
      </c>
      <c r="AH147">
        <f t="shared" si="34"/>
        <v>0</v>
      </c>
      <c r="AI147">
        <f t="shared" si="27"/>
        <v>0</v>
      </c>
      <c r="AJ147">
        <f t="shared" si="35"/>
        <v>3000</v>
      </c>
      <c r="AK147">
        <f>IF('Input data'!$B$26="S",'Input data'!$B$22,3.1415*(('Input data'!$B$20*0.0005)-('Input data'!$B$28*A147))^2)</f>
        <v>7.8539816250000026E-3</v>
      </c>
    </row>
    <row r="148" spans="1:37" x14ac:dyDescent="0.2">
      <c r="A148" s="9">
        <f>A147+'Input data'!$B$24</f>
        <v>14.099999999999966</v>
      </c>
      <c r="B148">
        <f>B147+(J147*'Input data'!$B$24)</f>
        <v>5.5114687528569304</v>
      </c>
      <c r="C148">
        <f>C147+(K147*'Input data'!$B$24)</f>
        <v>0</v>
      </c>
      <c r="D148">
        <f>D147+(L147*'Input data'!$B$24)</f>
        <v>-39.654046247034366</v>
      </c>
      <c r="E148">
        <f>IF('Input data'!$B$13=2,'Input data'!$B$25*((0.1036*LN(ABS(P147+1)))+0.8731),IF('Input data'!$B$13=3,'Input data'!$B$25*((0.139*LN(ABS(P147+1)))+0.7503),'Input data'!$B$25))</f>
        <v>5.4666208055189909</v>
      </c>
      <c r="F148">
        <f>E148*COS(RADIANS('Input data'!$B$10))</f>
        <v>5.4666208055189909</v>
      </c>
      <c r="G148">
        <f>E148*SIN(RADIANS('Input data'!$B$10))</f>
        <v>0</v>
      </c>
      <c r="H148">
        <f>1.22*EXP(-0.0001065*(P147+'Input data'!$B$12))</f>
        <v>1.2291496469248182</v>
      </c>
      <c r="I148">
        <f t="shared" si="29"/>
        <v>39.654071608099976</v>
      </c>
      <c r="J148">
        <f>-0.5*H148*I148*AK148*'Input data'!$B$19*(B148-F148)/AF148</f>
        <v>-1.0638576445210532E-2</v>
      </c>
      <c r="K148">
        <f>-0.5*H148*I148*AK148*'Input data'!$B$19*(C148-G148)/AF148</f>
        <v>0</v>
      </c>
      <c r="L148">
        <f>(-0.5*H148*AK148*I148*'Input data'!$B$19*D148/AF148)-'Input data'!$B$23</f>
        <v>-0.3984913992348833</v>
      </c>
      <c r="M148">
        <f>IF(AF148&gt;0,IF(P147&lt;=Param_1,M147,M147+(B149*'Input data'!$B$24)),M147)</f>
        <v>90.61972325594239</v>
      </c>
      <c r="N148">
        <f>IF(AF148&gt;0,IF(P147&lt;=Param_1,N147,N147+(C149*'Input data'!$B$24)),N147)</f>
        <v>0</v>
      </c>
      <c r="O148">
        <f t="shared" si="28"/>
        <v>0</v>
      </c>
      <c r="P148">
        <f>IF(P147&lt;=-100000,0,IF(AF148&gt;0,IF(P147&lt;Param_1,P147,P147+(D149*'Input data'!$B$24)),P147))</f>
        <v>-74.126456084791272</v>
      </c>
      <c r="Q148">
        <f t="shared" si="30"/>
        <v>90.61972325594239</v>
      </c>
      <c r="T148">
        <f t="shared" si="31"/>
        <v>0</v>
      </c>
      <c r="U148">
        <f t="shared" si="32"/>
        <v>0</v>
      </c>
      <c r="V148" s="74">
        <f>IF(X148=0,'Input data'!$Q$22,Q148)</f>
        <v>80.034601194491032</v>
      </c>
      <c r="W148" s="74">
        <f>IF(U148=0,'Input data'!$Q$23,U148)</f>
        <v>0</v>
      </c>
      <c r="X148" s="74">
        <f t="shared" si="25"/>
        <v>0</v>
      </c>
      <c r="Y148">
        <f>IF(P147&lt;Param_1,Y147,A149*'Input data'!$B$25*SIN(RADIANS('Input data'!$B$10)))</f>
        <v>0</v>
      </c>
      <c r="Z148">
        <f>IF(P147&lt;Param_1,Z147,A149*'Input data'!$B$25*COS(RADIANS('Input data'!$B$10)))</f>
        <v>59.166666666666529</v>
      </c>
      <c r="AA148">
        <f t="shared" si="36"/>
        <v>14.199999999999966</v>
      </c>
      <c r="AB148">
        <f t="shared" si="37"/>
        <v>5.1999999999999975</v>
      </c>
      <c r="AC148">
        <f>IF(ROUND(A148*10,3)='Input data'!$B$14*10,M148,0)</f>
        <v>0</v>
      </c>
      <c r="AD148">
        <f>IF(ROUND(A148*10,3)='Input data'!$B$14*10,N148,0)</f>
        <v>0</v>
      </c>
      <c r="AE148">
        <f>IF(ROUND(A148*10,3)='Input data'!$B$14*10,P148,0)</f>
        <v>0</v>
      </c>
      <c r="AF148">
        <f>IF('Input data'!$B$26="C",IF((3.14159265*1860/4)*((0.001*'Input data'!$B$20)-(2*'Input data'!$B$28*A148))^2*((0.33333*0.001*'Input data'!$B$20)-(2*'Input data'!$B$28*A148))&lt;0,(3.14159265*1860/4)*((0.001*'Input data'!$B$20)-(2*'Input data'!$B$28*A148))^2*((0.33333*0.001*'Input data'!$B$20)-(2*'Input data'!$B$28*A148)),(3.14159265*1860/4)*((0.001*'Input data'!$B$20)-(2*'Input data'!$B$28*A148))^2*((0.33333*0.001*'Input data'!$B$20)-(2*'Input data'!$B$28*A148))),'Input data'!$B$21)</f>
        <v>0.40680208090393727</v>
      </c>
      <c r="AG148">
        <f t="shared" si="33"/>
        <v>0</v>
      </c>
      <c r="AH148">
        <f t="shared" si="34"/>
        <v>0</v>
      </c>
      <c r="AI148">
        <f t="shared" si="27"/>
        <v>0</v>
      </c>
      <c r="AJ148">
        <f t="shared" si="35"/>
        <v>3000</v>
      </c>
      <c r="AK148">
        <f>IF('Input data'!$B$26="S",'Input data'!$B$22,3.1415*(('Input data'!$B$20*0.0005)-('Input data'!$B$28*A148))^2)</f>
        <v>7.8539816250000026E-3</v>
      </c>
    </row>
    <row r="149" spans="1:37" x14ac:dyDescent="0.2">
      <c r="A149" s="9">
        <f>A148+'Input data'!$B$24</f>
        <v>14.199999999999966</v>
      </c>
      <c r="B149">
        <f>B148+(J148*'Input data'!$B$24)</f>
        <v>5.5104048952124094</v>
      </c>
      <c r="C149">
        <f>C148+(K148*'Input data'!$B$24)</f>
        <v>0</v>
      </c>
      <c r="D149">
        <f>D148+(L148*'Input data'!$B$24)</f>
        <v>-39.693895386957855</v>
      </c>
      <c r="E149">
        <f>IF('Input data'!$B$13=2,'Input data'!$B$25*((0.1036*LN(ABS(P148+1)))+0.8731),IF('Input data'!$B$13=3,'Input data'!$B$25*((0.139*LN(ABS(P148+1)))+0.7503),'Input data'!$B$25))</f>
        <v>5.490712110607876</v>
      </c>
      <c r="F149">
        <f>E149*COS(RADIANS('Input data'!$B$10))</f>
        <v>5.490712110607876</v>
      </c>
      <c r="G149">
        <f>E149*SIN(RADIANS('Input data'!$B$10))</f>
        <v>0</v>
      </c>
      <c r="H149">
        <f>1.22*EXP(-0.0001065*(P148+'Input data'!$B$12))</f>
        <v>1.2296693674747816</v>
      </c>
      <c r="I149">
        <f t="shared" si="29"/>
        <v>39.693900271912305</v>
      </c>
      <c r="J149">
        <f>-0.5*H149*I149*AK149*'Input data'!$B$19*(B149-F149)/AF149</f>
        <v>-4.6780801703158867E-3</v>
      </c>
      <c r="K149">
        <f>-0.5*H149*I149*AK149*'Input data'!$B$19*(C149-G149)/AF149</f>
        <v>0</v>
      </c>
      <c r="L149">
        <f>(-0.5*H149*AK149*I149*'Input data'!$B$19*D149/AF149)-'Input data'!$B$23</f>
        <v>-0.37559584912264476</v>
      </c>
      <c r="M149">
        <f>IF(AF149&gt;0,IF(P148&lt;=Param_1,M148,M148+(B150*'Input data'!$B$24)),M148)</f>
        <v>91.170716964661921</v>
      </c>
      <c r="N149">
        <f>IF(AF149&gt;0,IF(P148&lt;=Param_1,N148,N148+(C150*'Input data'!$B$24)),N148)</f>
        <v>0</v>
      </c>
      <c r="O149">
        <f t="shared" si="28"/>
        <v>0</v>
      </c>
      <c r="P149">
        <f>IF(P148&lt;=-100000,0,IF(AF149&gt;0,IF(P148&lt;Param_1,P148,P148+(D150*'Input data'!$B$24)),P148))</f>
        <v>-78.099601581978277</v>
      </c>
      <c r="Q149">
        <f t="shared" si="30"/>
        <v>91.170716964661921</v>
      </c>
      <c r="T149">
        <f t="shared" si="31"/>
        <v>0</v>
      </c>
      <c r="U149">
        <f t="shared" si="32"/>
        <v>0</v>
      </c>
      <c r="V149" s="74">
        <f>IF(X149=0,'Input data'!$Q$22,Q149)</f>
        <v>80.034601194491032</v>
      </c>
      <c r="W149" s="74">
        <f>IF(U149=0,'Input data'!$Q$23,U149)</f>
        <v>0</v>
      </c>
      <c r="X149" s="74">
        <f t="shared" si="25"/>
        <v>0</v>
      </c>
      <c r="Y149">
        <f>IF(P148&lt;Param_1,Y148,A150*'Input data'!$B$25*SIN(RADIANS('Input data'!$B$10)))</f>
        <v>0</v>
      </c>
      <c r="Z149">
        <f>IF(P148&lt;Param_1,Z148,A150*'Input data'!$B$25*COS(RADIANS('Input data'!$B$10)))</f>
        <v>59.583333333333194</v>
      </c>
      <c r="AA149">
        <f t="shared" si="36"/>
        <v>14.299999999999965</v>
      </c>
      <c r="AB149">
        <f t="shared" si="37"/>
        <v>5.1999999999999975</v>
      </c>
      <c r="AC149">
        <f>IF(ROUND(A149*10,3)='Input data'!$B$14*10,M149,0)</f>
        <v>0</v>
      </c>
      <c r="AD149">
        <f>IF(ROUND(A149*10,3)='Input data'!$B$14*10,N149,0)</f>
        <v>0</v>
      </c>
      <c r="AE149">
        <f>IF(ROUND(A149*10,3)='Input data'!$B$14*10,P149,0)</f>
        <v>0</v>
      </c>
      <c r="AF149">
        <f>IF('Input data'!$B$26="C",IF((3.14159265*1860/4)*((0.001*'Input data'!$B$20)-(2*'Input data'!$B$28*A149))^2*((0.33333*0.001*'Input data'!$B$20)-(2*'Input data'!$B$28*A149))&lt;0,(3.14159265*1860/4)*((0.001*'Input data'!$B$20)-(2*'Input data'!$B$28*A149))^2*((0.33333*0.001*'Input data'!$B$20)-(2*'Input data'!$B$28*A149)),(3.14159265*1860/4)*((0.001*'Input data'!$B$20)-(2*'Input data'!$B$28*A149))^2*((0.33333*0.001*'Input data'!$B$20)-(2*'Input data'!$B$28*A149))),'Input data'!$B$21)</f>
        <v>0.40680208090393727</v>
      </c>
      <c r="AG149">
        <f t="shared" si="33"/>
        <v>0</v>
      </c>
      <c r="AH149">
        <f t="shared" si="34"/>
        <v>0</v>
      </c>
      <c r="AI149">
        <f t="shared" si="27"/>
        <v>0</v>
      </c>
      <c r="AJ149">
        <f t="shared" si="35"/>
        <v>3000</v>
      </c>
      <c r="AK149">
        <f>IF('Input data'!$B$26="S",'Input data'!$B$22,3.1415*(('Input data'!$B$20*0.0005)-('Input data'!$B$28*A149))^2)</f>
        <v>7.8539816250000026E-3</v>
      </c>
    </row>
    <row r="150" spans="1:37" x14ac:dyDescent="0.2">
      <c r="A150" s="9">
        <f>A149+'Input data'!$B$24</f>
        <v>14.299999999999965</v>
      </c>
      <c r="B150">
        <f>B149+(J149*'Input data'!$B$24)</f>
        <v>5.5099370871953779</v>
      </c>
      <c r="C150">
        <f>C149+(K149*'Input data'!$B$24)</f>
        <v>0</v>
      </c>
      <c r="D150">
        <f>D149+(L149*'Input data'!$B$24)</f>
        <v>-39.731454971870122</v>
      </c>
      <c r="E150">
        <f>IF('Input data'!$B$13=2,'Input data'!$B$25*((0.1036*LN(ABS(P149+1)))+0.8731),IF('Input data'!$B$13=3,'Input data'!$B$25*((0.139*LN(ABS(P149+1)))+0.7503),'Input data'!$B$25))</f>
        <v>5.5135506854480267</v>
      </c>
      <c r="F150">
        <f>E150*COS(RADIANS('Input data'!$B$10))</f>
        <v>5.5135506854480267</v>
      </c>
      <c r="G150">
        <f>E150*SIN(RADIANS('Input data'!$B$10))</f>
        <v>0</v>
      </c>
      <c r="H150">
        <f>1.22*EXP(-0.0001065*(P149+'Input data'!$B$12))</f>
        <v>1.230189799865455</v>
      </c>
      <c r="I150">
        <f t="shared" si="29"/>
        <v>39.731455136199521</v>
      </c>
      <c r="J150">
        <f>-0.5*H150*I150*AK150*'Input data'!$B$19*(B150-F150)/AF150</f>
        <v>8.5959694093186835E-4</v>
      </c>
      <c r="K150">
        <f>-0.5*H150*I150*AK150*'Input data'!$B$19*(C150-G150)/AF150</f>
        <v>0</v>
      </c>
      <c r="L150">
        <f>(-0.5*H150*AK150*I150*'Input data'!$B$19*D150/AF150)-'Input data'!$B$23</f>
        <v>-0.35374538763213259</v>
      </c>
      <c r="M150">
        <f>IF(AF150&gt;0,IF(P149&lt;=Param_1,M149,M149+(B151*'Input data'!$B$24)),M149)</f>
        <v>91.721719269350871</v>
      </c>
      <c r="N150">
        <f>IF(AF150&gt;0,IF(P149&lt;=Param_1,N149,N149+(C151*'Input data'!$B$24)),N149)</f>
        <v>0</v>
      </c>
      <c r="O150">
        <f t="shared" si="28"/>
        <v>0</v>
      </c>
      <c r="P150">
        <f>IF(P149&lt;=-100000,0,IF(AF150&gt;0,IF(P149&lt;Param_1,P149,P149+(D151*'Input data'!$B$24)),P149))</f>
        <v>-82.076284533041616</v>
      </c>
      <c r="Q150">
        <f t="shared" si="30"/>
        <v>91.721719269350871</v>
      </c>
      <c r="T150">
        <f t="shared" si="31"/>
        <v>0</v>
      </c>
      <c r="U150">
        <f t="shared" si="32"/>
        <v>0</v>
      </c>
      <c r="V150" s="74">
        <f>IF(X150=0,'Input data'!$Q$22,Q150)</f>
        <v>80.034601194491032</v>
      </c>
      <c r="W150" s="74">
        <f>IF(U150=0,'Input data'!$Q$23,U150)</f>
        <v>0</v>
      </c>
      <c r="X150" s="74">
        <f t="shared" si="25"/>
        <v>0</v>
      </c>
      <c r="Y150">
        <f>IF(P149&lt;Param_1,Y149,A151*'Input data'!$B$25*SIN(RADIANS('Input data'!$B$10)))</f>
        <v>0</v>
      </c>
      <c r="Z150">
        <f>IF(P149&lt;Param_1,Z149,A151*'Input data'!$B$25*COS(RADIANS('Input data'!$B$10)))</f>
        <v>59.999999999999858</v>
      </c>
      <c r="AA150">
        <f t="shared" si="36"/>
        <v>14.399999999999965</v>
      </c>
      <c r="AB150">
        <f t="shared" si="37"/>
        <v>5.1999999999999975</v>
      </c>
      <c r="AC150">
        <f>IF(ROUND(A150*10,3)='Input data'!$B$14*10,M150,0)</f>
        <v>0</v>
      </c>
      <c r="AD150">
        <f>IF(ROUND(A150*10,3)='Input data'!$B$14*10,N150,0)</f>
        <v>0</v>
      </c>
      <c r="AE150">
        <f>IF(ROUND(A150*10,3)='Input data'!$B$14*10,P150,0)</f>
        <v>0</v>
      </c>
      <c r="AF150">
        <f>IF('Input data'!$B$26="C",IF((3.14159265*1860/4)*((0.001*'Input data'!$B$20)-(2*'Input data'!$B$28*A150))^2*((0.33333*0.001*'Input data'!$B$20)-(2*'Input data'!$B$28*A150))&lt;0,(3.14159265*1860/4)*((0.001*'Input data'!$B$20)-(2*'Input data'!$B$28*A150))^2*((0.33333*0.001*'Input data'!$B$20)-(2*'Input data'!$B$28*A150)),(3.14159265*1860/4)*((0.001*'Input data'!$B$20)-(2*'Input data'!$B$28*A150))^2*((0.33333*0.001*'Input data'!$B$20)-(2*'Input data'!$B$28*A150))),'Input data'!$B$21)</f>
        <v>0.40680208090393727</v>
      </c>
      <c r="AG150">
        <f t="shared" si="33"/>
        <v>0</v>
      </c>
      <c r="AH150">
        <f t="shared" si="34"/>
        <v>0</v>
      </c>
      <c r="AI150">
        <f t="shared" si="27"/>
        <v>0</v>
      </c>
      <c r="AJ150">
        <f t="shared" si="35"/>
        <v>3000</v>
      </c>
      <c r="AK150">
        <f>IF('Input data'!$B$26="S",'Input data'!$B$22,3.1415*(('Input data'!$B$20*0.0005)-('Input data'!$B$28*A150))^2)</f>
        <v>7.8539816250000026E-3</v>
      </c>
    </row>
    <row r="151" spans="1:37" x14ac:dyDescent="0.2">
      <c r="A151" s="9">
        <f>A150+'Input data'!$B$24</f>
        <v>14.399999999999965</v>
      </c>
      <c r="B151">
        <f>B150+(J150*'Input data'!$B$24)</f>
        <v>5.5100230468894713</v>
      </c>
      <c r="C151">
        <f>C150+(K150*'Input data'!$B$24)</f>
        <v>0</v>
      </c>
      <c r="D151">
        <f>D150+(L150*'Input data'!$B$24)</f>
        <v>-39.766829510633336</v>
      </c>
      <c r="E151">
        <f>IF('Input data'!$B$13=2,'Input data'!$B$25*((0.1036*LN(ABS(P150+1)))+0.8731),IF('Input data'!$B$13=3,'Input data'!$B$25*((0.139*LN(ABS(P150+1)))+0.7503),'Input data'!$B$25))</f>
        <v>5.5352602307000938</v>
      </c>
      <c r="F151">
        <f>E151*COS(RADIANS('Input data'!$B$10))</f>
        <v>5.5352602307000938</v>
      </c>
      <c r="G151">
        <f>E151*SIN(RADIANS('Input data'!$B$10))</f>
        <v>0</v>
      </c>
      <c r="H151">
        <f>1.22*EXP(-0.0001065*(P150+'Input data'!$B$12))</f>
        <v>1.2307109161749981</v>
      </c>
      <c r="I151">
        <f t="shared" si="29"/>
        <v>39.766837518757072</v>
      </c>
      <c r="J151">
        <f>-0.5*H151*I151*AK151*'Input data'!$B$19*(B151-F151)/AF151</f>
        <v>6.0112722741117886E-3</v>
      </c>
      <c r="K151">
        <f>-0.5*H151*I151*AK151*'Input data'!$B$19*(C151-G151)/AF151</f>
        <v>0</v>
      </c>
      <c r="L151">
        <f>(-0.5*H151*AK151*I151*'Input data'!$B$19*D151/AF151)-'Input data'!$B$23</f>
        <v>-0.33289560592796263</v>
      </c>
      <c r="M151">
        <f>IF(AF151&gt;0,IF(P150&lt;=Param_1,M150,M150+(B152*'Input data'!$B$24)),M150)</f>
        <v>92.272781686762556</v>
      </c>
      <c r="N151">
        <f>IF(AF151&gt;0,IF(P150&lt;=Param_1,N150,N150+(C152*'Input data'!$B$24)),N150)</f>
        <v>0</v>
      </c>
      <c r="O151">
        <f t="shared" si="28"/>
        <v>0</v>
      </c>
      <c r="P151">
        <f>IF(P150&lt;=-100000,0,IF(AF151&gt;0,IF(P150&lt;Param_1,P150,P150+(D152*'Input data'!$B$24)),P150))</f>
        <v>-86.056296440164232</v>
      </c>
      <c r="Q151">
        <f t="shared" si="30"/>
        <v>92.272781686762556</v>
      </c>
      <c r="T151">
        <f t="shared" si="31"/>
        <v>0</v>
      </c>
      <c r="U151">
        <f t="shared" si="32"/>
        <v>0</v>
      </c>
      <c r="V151" s="74">
        <f>IF(X151=0,'Input data'!$Q$22,Q151)</f>
        <v>80.034601194491032</v>
      </c>
      <c r="W151" s="74">
        <f>IF(U151=0,'Input data'!$Q$23,U151)</f>
        <v>0</v>
      </c>
      <c r="X151" s="74">
        <f t="shared" si="25"/>
        <v>0</v>
      </c>
      <c r="Y151">
        <f>IF(P150&lt;Param_1,Y150,A152*'Input data'!$B$25*SIN(RADIANS('Input data'!$B$10)))</f>
        <v>0</v>
      </c>
      <c r="Z151">
        <f>IF(P150&lt;Param_1,Z150,A152*'Input data'!$B$25*COS(RADIANS('Input data'!$B$10)))</f>
        <v>60.416666666666522</v>
      </c>
      <c r="AA151">
        <f t="shared" si="36"/>
        <v>14.499999999999964</v>
      </c>
      <c r="AB151">
        <f t="shared" si="37"/>
        <v>5.1999999999999975</v>
      </c>
      <c r="AC151">
        <f>IF(ROUND(A151*10,3)='Input data'!$B$14*10,M151,0)</f>
        <v>0</v>
      </c>
      <c r="AD151">
        <f>IF(ROUND(A151*10,3)='Input data'!$B$14*10,N151,0)</f>
        <v>0</v>
      </c>
      <c r="AE151">
        <f>IF(ROUND(A151*10,3)='Input data'!$B$14*10,P151,0)</f>
        <v>0</v>
      </c>
      <c r="AF151">
        <f>IF('Input data'!$B$26="C",IF((3.14159265*1860/4)*((0.001*'Input data'!$B$20)-(2*'Input data'!$B$28*A151))^2*((0.33333*0.001*'Input data'!$B$20)-(2*'Input data'!$B$28*A151))&lt;0,(3.14159265*1860/4)*((0.001*'Input data'!$B$20)-(2*'Input data'!$B$28*A151))^2*((0.33333*0.001*'Input data'!$B$20)-(2*'Input data'!$B$28*A151)),(3.14159265*1860/4)*((0.001*'Input data'!$B$20)-(2*'Input data'!$B$28*A151))^2*((0.33333*0.001*'Input data'!$B$20)-(2*'Input data'!$B$28*A151))),'Input data'!$B$21)</f>
        <v>0.40680208090393727</v>
      </c>
      <c r="AG151">
        <f t="shared" si="33"/>
        <v>0</v>
      </c>
      <c r="AH151">
        <f t="shared" si="34"/>
        <v>0</v>
      </c>
      <c r="AI151">
        <f t="shared" si="27"/>
        <v>0</v>
      </c>
      <c r="AJ151">
        <f t="shared" si="35"/>
        <v>3000</v>
      </c>
      <c r="AK151">
        <f>IF('Input data'!$B$26="S",'Input data'!$B$22,3.1415*(('Input data'!$B$20*0.0005)-('Input data'!$B$28*A151))^2)</f>
        <v>7.8539816250000026E-3</v>
      </c>
    </row>
    <row r="152" spans="1:37" x14ac:dyDescent="0.2">
      <c r="A152" s="9">
        <f>A151+'Input data'!$B$24</f>
        <v>14.499999999999964</v>
      </c>
      <c r="B152">
        <f>B151+(J151*'Input data'!$B$24)</f>
        <v>5.5106241741168827</v>
      </c>
      <c r="C152">
        <f>C151+(K151*'Input data'!$B$24)</f>
        <v>0</v>
      </c>
      <c r="D152">
        <f>D151+(L151*'Input data'!$B$24)</f>
        <v>-39.800119071226135</v>
      </c>
      <c r="E152">
        <f>IF('Input data'!$B$13=2,'Input data'!$B$25*((0.1036*LN(ABS(P151+1)))+0.8731),IF('Input data'!$B$13=3,'Input data'!$B$25*((0.139*LN(ABS(P151+1)))+0.7503),'Input data'!$B$25))</f>
        <v>5.555946928691422</v>
      </c>
      <c r="F152">
        <f>E152*COS(RADIANS('Input data'!$B$10))</f>
        <v>5.555946928691422</v>
      </c>
      <c r="G152">
        <f>E152*SIN(RADIANS('Input data'!$B$10))</f>
        <v>0</v>
      </c>
      <c r="H152">
        <f>1.22*EXP(-0.0001065*(P151+'Input data'!$B$12))</f>
        <v>1.2312326897463128</v>
      </c>
      <c r="I152">
        <f t="shared" si="29"/>
        <v>39.800144877071247</v>
      </c>
      <c r="J152">
        <f>-0.5*H152*I152*AK152*'Input data'!$B$19*(B152-F152)/AF152</f>
        <v>1.0809098852193392E-2</v>
      </c>
      <c r="K152">
        <f>-0.5*H152*I152*AK152*'Input data'!$B$19*(C152-G152)/AF152</f>
        <v>0</v>
      </c>
      <c r="L152">
        <f>(-0.5*H152*AK152*I152*'Input data'!$B$19*D152/AF152)-'Input data'!$B$23</f>
        <v>-0.31300364169341854</v>
      </c>
      <c r="M152">
        <f>IF(AF152&gt;0,IF(P151&lt;=Param_1,M151,M151+(B153*'Input data'!$B$24)),M151)</f>
        <v>92.823952195162761</v>
      </c>
      <c r="N152">
        <f>IF(AF152&gt;0,IF(P151&lt;=Param_1,N151,N151+(C153*'Input data'!$B$24)),N151)</f>
        <v>0</v>
      </c>
      <c r="O152">
        <f t="shared" si="28"/>
        <v>0</v>
      </c>
      <c r="P152">
        <f>IF(P151&lt;=-100000,0,IF(AF152&gt;0,IF(P151&lt;Param_1,P151,P151+(D153*'Input data'!$B$24)),P151))</f>
        <v>-90.039438383703782</v>
      </c>
      <c r="Q152">
        <f t="shared" si="30"/>
        <v>92.823952195162761</v>
      </c>
      <c r="T152">
        <f t="shared" si="31"/>
        <v>0</v>
      </c>
      <c r="U152">
        <f t="shared" si="32"/>
        <v>0</v>
      </c>
      <c r="V152" s="74">
        <f>IF(X152=0,'Input data'!$Q$22,Q152)</f>
        <v>80.034601194491032</v>
      </c>
      <c r="W152" s="74">
        <f>IF(U152=0,'Input data'!$Q$23,U152)</f>
        <v>0</v>
      </c>
      <c r="X152" s="74">
        <f t="shared" si="25"/>
        <v>0</v>
      </c>
      <c r="Y152">
        <f>IF(P151&lt;Param_1,Y151,A153*'Input data'!$B$25*SIN(RADIANS('Input data'!$B$10)))</f>
        <v>0</v>
      </c>
      <c r="Z152">
        <f>IF(P151&lt;Param_1,Z151,A153*'Input data'!$B$25*COS(RADIANS('Input data'!$B$10)))</f>
        <v>60.833333333333186</v>
      </c>
      <c r="AA152">
        <f t="shared" si="36"/>
        <v>14.599999999999964</v>
      </c>
      <c r="AB152">
        <f t="shared" si="37"/>
        <v>5.1999999999999975</v>
      </c>
      <c r="AC152">
        <f>IF(ROUND(A152*10,3)='Input data'!$B$14*10,M152,0)</f>
        <v>0</v>
      </c>
      <c r="AD152">
        <f>IF(ROUND(A152*10,3)='Input data'!$B$14*10,N152,0)</f>
        <v>0</v>
      </c>
      <c r="AE152">
        <f>IF(ROUND(A152*10,3)='Input data'!$B$14*10,P152,0)</f>
        <v>0</v>
      </c>
      <c r="AF152">
        <f>IF('Input data'!$B$26="C",IF((3.14159265*1860/4)*((0.001*'Input data'!$B$20)-(2*'Input data'!$B$28*A152))^2*((0.33333*0.001*'Input data'!$B$20)-(2*'Input data'!$B$28*A152))&lt;0,(3.14159265*1860/4)*((0.001*'Input data'!$B$20)-(2*'Input data'!$B$28*A152))^2*((0.33333*0.001*'Input data'!$B$20)-(2*'Input data'!$B$28*A152)),(3.14159265*1860/4)*((0.001*'Input data'!$B$20)-(2*'Input data'!$B$28*A152))^2*((0.33333*0.001*'Input data'!$B$20)-(2*'Input data'!$B$28*A152))),'Input data'!$B$21)</f>
        <v>0.40680208090393727</v>
      </c>
      <c r="AG152">
        <f t="shared" si="33"/>
        <v>0</v>
      </c>
      <c r="AH152">
        <f t="shared" si="34"/>
        <v>0</v>
      </c>
      <c r="AI152">
        <f t="shared" si="27"/>
        <v>0</v>
      </c>
      <c r="AJ152">
        <f t="shared" si="35"/>
        <v>3000</v>
      </c>
      <c r="AK152">
        <f>IF('Input data'!$B$26="S",'Input data'!$B$22,3.1415*(('Input data'!$B$20*0.0005)-('Input data'!$B$28*A152))^2)</f>
        <v>7.8539816250000026E-3</v>
      </c>
    </row>
    <row r="153" spans="1:37" x14ac:dyDescent="0.2">
      <c r="A153" s="9">
        <f>A152+'Input data'!$B$24</f>
        <v>14.599999999999964</v>
      </c>
      <c r="B153">
        <f>B152+(J152*'Input data'!$B$24)</f>
        <v>5.5117050840021022</v>
      </c>
      <c r="C153">
        <f>C152+(K152*'Input data'!$B$24)</f>
        <v>0</v>
      </c>
      <c r="D153">
        <f>D152+(L152*'Input data'!$B$24)</f>
        <v>-39.831419435395475</v>
      </c>
      <c r="E153">
        <f>IF('Input data'!$B$13=2,'Input data'!$B$25*((0.1036*LN(ABS(P152+1)))+0.8731),IF('Input data'!$B$13=3,'Input data'!$B$25*((0.139*LN(ABS(P152+1)))+0.7503),'Input data'!$B$25))</f>
        <v>5.5757026074451135</v>
      </c>
      <c r="F153">
        <f>E153*COS(RADIANS('Input data'!$B$10))</f>
        <v>5.5757026074451135</v>
      </c>
      <c r="G153">
        <f>E153*SIN(RADIANS('Input data'!$B$10))</f>
        <v>0</v>
      </c>
      <c r="H153">
        <f>1.22*EXP(-0.0001065*(P152+'Input data'!$B$12))</f>
        <v>1.2317550951334433</v>
      </c>
      <c r="I153">
        <f t="shared" si="29"/>
        <v>39.831470848079505</v>
      </c>
      <c r="J153">
        <f>-0.5*H153*I153*AK153*'Input data'!$B$19*(B153-F153)/AF153</f>
        <v>1.5281369614237719E-2</v>
      </c>
      <c r="K153">
        <f>-0.5*H153*I153*AK153*'Input data'!$B$19*(C153-G153)/AF153</f>
        <v>0</v>
      </c>
      <c r="L153">
        <f>(-0.5*H153*AK153*I153*'Input data'!$B$19*D153/AF153)-'Input data'!$B$23</f>
        <v>-0.29402817006616466</v>
      </c>
      <c r="M153">
        <f>IF(AF153&gt;0,IF(P152&lt;=Param_1,M152,M152+(B154*'Input data'!$B$24)),M152)</f>
        <v>93.375275517259112</v>
      </c>
      <c r="N153">
        <f>IF(AF153&gt;0,IF(P152&lt;=Param_1,N152,N152+(C154*'Input data'!$B$24)),N152)</f>
        <v>0</v>
      </c>
      <c r="O153">
        <f t="shared" si="28"/>
        <v>0</v>
      </c>
      <c r="P153">
        <f>IF(P152&lt;=-100000,0,IF(AF153&gt;0,IF(P152&lt;Param_1,P152,P152+(D154*'Input data'!$B$24)),P152))</f>
        <v>-94.025520608943992</v>
      </c>
      <c r="Q153">
        <f t="shared" si="30"/>
        <v>93.375275517259112</v>
      </c>
      <c r="T153">
        <f t="shared" si="31"/>
        <v>0</v>
      </c>
      <c r="U153">
        <f t="shared" si="32"/>
        <v>0</v>
      </c>
      <c r="V153" s="74">
        <f>IF(X153=0,'Input data'!$Q$22,Q153)</f>
        <v>80.034601194491032</v>
      </c>
      <c r="W153" s="74">
        <f>IF(U153=0,'Input data'!$Q$23,U153)</f>
        <v>0</v>
      </c>
      <c r="X153" s="74">
        <f t="shared" si="25"/>
        <v>0</v>
      </c>
      <c r="Y153">
        <f>IF(P152&lt;Param_1,Y152,A154*'Input data'!$B$25*SIN(RADIANS('Input data'!$B$10)))</f>
        <v>0</v>
      </c>
      <c r="Z153">
        <f>IF(P152&lt;Param_1,Z152,A154*'Input data'!$B$25*COS(RADIANS('Input data'!$B$10)))</f>
        <v>61.249999999999851</v>
      </c>
      <c r="AA153">
        <f t="shared" si="36"/>
        <v>14.699999999999964</v>
      </c>
      <c r="AB153">
        <f t="shared" si="37"/>
        <v>5.1999999999999975</v>
      </c>
      <c r="AC153">
        <f>IF(ROUND(A153*10,3)='Input data'!$B$14*10,M153,0)</f>
        <v>0</v>
      </c>
      <c r="AD153">
        <f>IF(ROUND(A153*10,3)='Input data'!$B$14*10,N153,0)</f>
        <v>0</v>
      </c>
      <c r="AE153">
        <f>IF(ROUND(A153*10,3)='Input data'!$B$14*10,P153,0)</f>
        <v>0</v>
      </c>
      <c r="AF153">
        <f>IF('Input data'!$B$26="C",IF((3.14159265*1860/4)*((0.001*'Input data'!$B$20)-(2*'Input data'!$B$28*A153))^2*((0.33333*0.001*'Input data'!$B$20)-(2*'Input data'!$B$28*A153))&lt;0,(3.14159265*1860/4)*((0.001*'Input data'!$B$20)-(2*'Input data'!$B$28*A153))^2*((0.33333*0.001*'Input data'!$B$20)-(2*'Input data'!$B$28*A153)),(3.14159265*1860/4)*((0.001*'Input data'!$B$20)-(2*'Input data'!$B$28*A153))^2*((0.33333*0.001*'Input data'!$B$20)-(2*'Input data'!$B$28*A153))),'Input data'!$B$21)</f>
        <v>0.40680208090393727</v>
      </c>
      <c r="AG153">
        <f t="shared" si="33"/>
        <v>0</v>
      </c>
      <c r="AH153">
        <f t="shared" si="34"/>
        <v>0</v>
      </c>
      <c r="AI153">
        <f t="shared" si="27"/>
        <v>0</v>
      </c>
      <c r="AJ153">
        <f t="shared" si="35"/>
        <v>3000</v>
      </c>
      <c r="AK153">
        <f>IF('Input data'!$B$26="S",'Input data'!$B$22,3.1415*(('Input data'!$B$20*0.0005)-('Input data'!$B$28*A153))^2)</f>
        <v>7.8539816250000026E-3</v>
      </c>
    </row>
    <row r="154" spans="1:37" x14ac:dyDescent="0.2">
      <c r="A154" s="9">
        <f>A153+'Input data'!$B$24</f>
        <v>14.699999999999964</v>
      </c>
      <c r="B154">
        <f>B153+(J153*'Input data'!$B$24)</f>
        <v>5.5132332209635262</v>
      </c>
      <c r="C154">
        <f>C153+(K153*'Input data'!$B$24)</f>
        <v>0</v>
      </c>
      <c r="D154">
        <f>D153+(L153*'Input data'!$B$24)</f>
        <v>-39.860822252402095</v>
      </c>
      <c r="E154">
        <f>IF('Input data'!$B$13=2,'Input data'!$B$25*((0.1036*LN(ABS(P153+1)))+0.8731),IF('Input data'!$B$13=3,'Input data'!$B$25*((0.139*LN(ABS(P153+1)))+0.7503),'Input data'!$B$25))</f>
        <v>5.5946072208341411</v>
      </c>
      <c r="F154">
        <f>E154*COS(RADIANS('Input data'!$B$10))</f>
        <v>5.5946072208341411</v>
      </c>
      <c r="G154">
        <f>E154*SIN(RADIANS('Input data'!$B$10))</f>
        <v>0</v>
      </c>
      <c r="H154">
        <f>1.22*EXP(-0.0001065*(P153+'Input data'!$B$12))</f>
        <v>1.2322781080498686</v>
      </c>
      <c r="I154">
        <f t="shared" si="29"/>
        <v>39.860905312918433</v>
      </c>
      <c r="J154">
        <f>-0.5*H154*I154*AK154*'Input data'!$B$19*(B154-F154)/AF154</f>
        <v>1.9453150916095466E-2</v>
      </c>
      <c r="K154">
        <f>-0.5*H154*I154*AK154*'Input data'!$B$19*(C154-G154)/AF154</f>
        <v>0</v>
      </c>
      <c r="L154">
        <f>(-0.5*H154*AK154*I154*'Input data'!$B$19*D154/AF154)-'Input data'!$B$23</f>
        <v>-0.27592938593955907</v>
      </c>
      <c r="M154">
        <f>IF(AF154&gt;0,IF(P153&lt;=Param_1,M153,M153+(B155*'Input data'!$B$24)),M153)</f>
        <v>93.92679337086463</v>
      </c>
      <c r="N154">
        <f>IF(AF154&gt;0,IF(P153&lt;=Param_1,N153,N153+(C155*'Input data'!$B$24)),N153)</f>
        <v>0</v>
      </c>
      <c r="O154">
        <f t="shared" si="28"/>
        <v>0</v>
      </c>
      <c r="P154">
        <f>IF(P153&lt;=-100000,0,IF(AF154&gt;0,IF(P153&lt;Param_1,P153,P153+(D155*'Input data'!$B$24)),P153))</f>
        <v>-98.014362128043601</v>
      </c>
      <c r="Q154">
        <f t="shared" si="30"/>
        <v>93.92679337086463</v>
      </c>
      <c r="T154">
        <f t="shared" si="31"/>
        <v>0</v>
      </c>
      <c r="U154">
        <f t="shared" si="32"/>
        <v>0</v>
      </c>
      <c r="V154" s="74">
        <f>IF(X154=0,'Input data'!$Q$22,Q154)</f>
        <v>80.034601194491032</v>
      </c>
      <c r="W154" s="74">
        <f>IF(U154=0,'Input data'!$Q$23,U154)</f>
        <v>0</v>
      </c>
      <c r="X154" s="74">
        <f t="shared" si="25"/>
        <v>0</v>
      </c>
      <c r="Y154">
        <f>IF(P153&lt;Param_1,Y153,A155*'Input data'!$B$25*SIN(RADIANS('Input data'!$B$10)))</f>
        <v>0</v>
      </c>
      <c r="Z154">
        <f>IF(P153&lt;Param_1,Z153,A155*'Input data'!$B$25*COS(RADIANS('Input data'!$B$10)))</f>
        <v>61.666666666666515</v>
      </c>
      <c r="AA154">
        <f t="shared" si="36"/>
        <v>14.799999999999963</v>
      </c>
      <c r="AB154">
        <f t="shared" si="37"/>
        <v>5.1999999999999975</v>
      </c>
      <c r="AC154">
        <f>IF(ROUND(A154*10,3)='Input data'!$B$14*10,M154,0)</f>
        <v>0</v>
      </c>
      <c r="AD154">
        <f>IF(ROUND(A154*10,3)='Input data'!$B$14*10,N154,0)</f>
        <v>0</v>
      </c>
      <c r="AE154">
        <f>IF(ROUND(A154*10,3)='Input data'!$B$14*10,P154,0)</f>
        <v>0</v>
      </c>
      <c r="AF154">
        <f>IF('Input data'!$B$26="C",IF((3.14159265*1860/4)*((0.001*'Input data'!$B$20)-(2*'Input data'!$B$28*A154))^2*((0.33333*0.001*'Input data'!$B$20)-(2*'Input data'!$B$28*A154))&lt;0,(3.14159265*1860/4)*((0.001*'Input data'!$B$20)-(2*'Input data'!$B$28*A154))^2*((0.33333*0.001*'Input data'!$B$20)-(2*'Input data'!$B$28*A154)),(3.14159265*1860/4)*((0.001*'Input data'!$B$20)-(2*'Input data'!$B$28*A154))^2*((0.33333*0.001*'Input data'!$B$20)-(2*'Input data'!$B$28*A154))),'Input data'!$B$21)</f>
        <v>0.40680208090393727</v>
      </c>
      <c r="AG154">
        <f t="shared" si="33"/>
        <v>0</v>
      </c>
      <c r="AH154">
        <f t="shared" si="34"/>
        <v>0</v>
      </c>
      <c r="AI154">
        <f t="shared" si="27"/>
        <v>0</v>
      </c>
      <c r="AJ154">
        <f t="shared" si="35"/>
        <v>3000</v>
      </c>
      <c r="AK154">
        <f>IF('Input data'!$B$26="S",'Input data'!$B$22,3.1415*(('Input data'!$B$20*0.0005)-('Input data'!$B$28*A154))^2)</f>
        <v>7.8539816250000026E-3</v>
      </c>
    </row>
    <row r="155" spans="1:37" x14ac:dyDescent="0.2">
      <c r="A155" s="9">
        <f>A154+'Input data'!$B$24</f>
        <v>14.799999999999963</v>
      </c>
      <c r="B155">
        <f>B154+(J154*'Input data'!$B$24)</f>
        <v>5.515178536055136</v>
      </c>
      <c r="C155">
        <f>C154+(K154*'Input data'!$B$24)</f>
        <v>0</v>
      </c>
      <c r="D155">
        <f>D154+(L154*'Input data'!$B$24)</f>
        <v>-39.888415190996049</v>
      </c>
      <c r="E155">
        <f>IF('Input data'!$B$13=2,'Input data'!$B$25*((0.1036*LN(ABS(P154+1)))+0.8731),IF('Input data'!$B$13=3,'Input data'!$B$25*((0.139*LN(ABS(P154+1)))+0.7503),'Input data'!$B$25))</f>
        <v>5.612730814926957</v>
      </c>
      <c r="F155">
        <f>E155*COS(RADIANS('Input data'!$B$10))</f>
        <v>5.612730814926957</v>
      </c>
      <c r="G155">
        <f>E155*SIN(RADIANS('Input data'!$B$10))</f>
        <v>0</v>
      </c>
      <c r="H155">
        <f>1.22*EXP(-0.0001065*(P154+'Input data'!$B$12))</f>
        <v>1.2328017053186664</v>
      </c>
      <c r="I155">
        <f t="shared" si="29"/>
        <v>39.88853447917581</v>
      </c>
      <c r="J155">
        <f>-0.5*H155*I155*AK155*'Input data'!$B$19*(B155-F155)/AF155</f>
        <v>2.3346787317273961E-2</v>
      </c>
      <c r="K155">
        <f>-0.5*H155*I155*AK155*'Input data'!$B$19*(C155-G155)/AF155</f>
        <v>0</v>
      </c>
      <c r="L155">
        <f>(-0.5*H155*AK155*I155*'Input data'!$B$19*D155/AF155)-'Input data'!$B$23</f>
        <v>-0.25866897977910597</v>
      </c>
      <c r="M155">
        <f>IF(AF155&gt;0,IF(P154&lt;=Param_1,M154,M154+(B156*'Input data'!$B$24)),M154)</f>
        <v>94.47854469234332</v>
      </c>
      <c r="N155">
        <f>IF(AF155&gt;0,IF(P154&lt;=Param_1,N154,N154+(C156*'Input data'!$B$24)),N154)</f>
        <v>0</v>
      </c>
      <c r="O155">
        <f t="shared" si="28"/>
        <v>0</v>
      </c>
      <c r="P155">
        <f>IF(P154&lt;=-100000,0,IF(AF155&gt;0,IF(P154&lt;Param_1,P154,P154+(D156*'Input data'!$B$24)),P154))</f>
        <v>-102.005790336941</v>
      </c>
      <c r="Q155">
        <f t="shared" si="30"/>
        <v>94.47854469234332</v>
      </c>
      <c r="T155">
        <f t="shared" si="31"/>
        <v>0</v>
      </c>
      <c r="U155">
        <f t="shared" si="32"/>
        <v>0</v>
      </c>
      <c r="V155" s="74">
        <f>IF(X155=0,'Input data'!$Q$22,Q155)</f>
        <v>80.034601194491032</v>
      </c>
      <c r="W155" s="74">
        <f>IF(U155=0,'Input data'!$Q$23,U155)</f>
        <v>0</v>
      </c>
      <c r="X155" s="74">
        <f t="shared" si="25"/>
        <v>0</v>
      </c>
      <c r="Y155">
        <f>IF(P154&lt;Param_1,Y154,A156*'Input data'!$B$25*SIN(RADIANS('Input data'!$B$10)))</f>
        <v>0</v>
      </c>
      <c r="Z155">
        <f>IF(P154&lt;Param_1,Z154,A156*'Input data'!$B$25*COS(RADIANS('Input data'!$B$10)))</f>
        <v>62.083333333333186</v>
      </c>
      <c r="AA155">
        <f t="shared" si="36"/>
        <v>14.899999999999963</v>
      </c>
      <c r="AB155">
        <f t="shared" si="37"/>
        <v>5.1999999999999975</v>
      </c>
      <c r="AC155">
        <f>IF(ROUND(A155*10,3)='Input data'!$B$14*10,M155,0)</f>
        <v>0</v>
      </c>
      <c r="AD155">
        <f>IF(ROUND(A155*10,3)='Input data'!$B$14*10,N155,0)</f>
        <v>0</v>
      </c>
      <c r="AE155">
        <f>IF(ROUND(A155*10,3)='Input data'!$B$14*10,P155,0)</f>
        <v>0</v>
      </c>
      <c r="AF155">
        <f>IF('Input data'!$B$26="C",IF((3.14159265*1860/4)*((0.001*'Input data'!$B$20)-(2*'Input data'!$B$28*A155))^2*((0.33333*0.001*'Input data'!$B$20)-(2*'Input data'!$B$28*A155))&lt;0,(3.14159265*1860/4)*((0.001*'Input data'!$B$20)-(2*'Input data'!$B$28*A155))^2*((0.33333*0.001*'Input data'!$B$20)-(2*'Input data'!$B$28*A155)),(3.14159265*1860/4)*((0.001*'Input data'!$B$20)-(2*'Input data'!$B$28*A155))^2*((0.33333*0.001*'Input data'!$B$20)-(2*'Input data'!$B$28*A155))),'Input data'!$B$21)</f>
        <v>0.40680208090393727</v>
      </c>
      <c r="AG155">
        <f t="shared" si="33"/>
        <v>0</v>
      </c>
      <c r="AH155">
        <f t="shared" si="34"/>
        <v>0</v>
      </c>
      <c r="AI155">
        <f t="shared" si="27"/>
        <v>0</v>
      </c>
      <c r="AJ155">
        <f t="shared" si="35"/>
        <v>3000</v>
      </c>
      <c r="AK155">
        <f>IF('Input data'!$B$26="S",'Input data'!$B$22,3.1415*(('Input data'!$B$20*0.0005)-('Input data'!$B$28*A155))^2)</f>
        <v>7.8539816250000026E-3</v>
      </c>
    </row>
    <row r="156" spans="1:37" x14ac:dyDescent="0.2">
      <c r="A156" s="9">
        <f>A155+'Input data'!$B$24</f>
        <v>14.899999999999963</v>
      </c>
      <c r="B156">
        <f>B155+(J155*'Input data'!$B$24)</f>
        <v>5.5175132147868631</v>
      </c>
      <c r="C156">
        <f>C155+(K155*'Input data'!$B$24)</f>
        <v>0</v>
      </c>
      <c r="D156">
        <f>D155+(L155*'Input data'!$B$24)</f>
        <v>-39.914282088973962</v>
      </c>
      <c r="E156">
        <f>IF('Input data'!$B$13=2,'Input data'!$B$25*((0.1036*LN(ABS(P155+1)))+0.8731),IF('Input data'!$B$13=3,'Input data'!$B$25*((0.139*LN(ABS(P155+1)))+0.7503),'Input data'!$B$25))</f>
        <v>5.6301351032067828</v>
      </c>
      <c r="F156">
        <f>E156*COS(RADIANS('Input data'!$B$10))</f>
        <v>5.6301351032067828</v>
      </c>
      <c r="G156">
        <f>E156*SIN(RADIANS('Input data'!$B$10))</f>
        <v>0</v>
      </c>
      <c r="H156">
        <f>1.22*EXP(-0.0001065*(P155+'Input data'!$B$12))</f>
        <v>1.233325864824522</v>
      </c>
      <c r="I156">
        <f t="shared" si="29"/>
        <v>39.914440975265315</v>
      </c>
      <c r="J156">
        <f>-0.5*H156*I156*AK156*'Input data'!$B$19*(B156-F156)/AF156</f>
        <v>2.6982308080503132E-2</v>
      </c>
      <c r="K156">
        <f>-0.5*H156*I156*AK156*'Input data'!$B$19*(C156-G156)/AF156</f>
        <v>0</v>
      </c>
      <c r="L156">
        <f>(-0.5*H156*AK156*I156*'Input data'!$B$19*D156/AF156)-'Input data'!$B$23</f>
        <v>-0.24221010856078351</v>
      </c>
      <c r="M156">
        <f>IF(AF156&gt;0,IF(P155&lt;=Param_1,M155,M155+(B157*'Input data'!$B$24)),M155)</f>
        <v>94.47854469234332</v>
      </c>
      <c r="N156">
        <f>IF(AF156&gt;0,IF(P155&lt;=Param_1,N155,N155+(C157*'Input data'!$B$24)),N155)</f>
        <v>0</v>
      </c>
      <c r="O156">
        <f t="shared" si="28"/>
        <v>0</v>
      </c>
      <c r="P156">
        <f>IF(P155&lt;=-100000,0,IF(AF156&gt;0,IF(P155&lt;Param_1,P155,P155+(D157*'Input data'!$B$24)),P155))</f>
        <v>-102.005790336941</v>
      </c>
      <c r="Q156">
        <f t="shared" si="30"/>
        <v>94.47854469234332</v>
      </c>
      <c r="T156">
        <f t="shared" si="31"/>
        <v>0</v>
      </c>
      <c r="U156">
        <f t="shared" si="32"/>
        <v>0</v>
      </c>
      <c r="V156" s="74">
        <f>IF(X156=0,'Input data'!$Q$22,Q156)</f>
        <v>80.034601194491032</v>
      </c>
      <c r="W156" s="74">
        <f>IF(U156=0,'Input data'!$Q$23,U156)</f>
        <v>0</v>
      </c>
      <c r="X156" s="74">
        <f t="shared" si="25"/>
        <v>0</v>
      </c>
      <c r="Y156">
        <f>IF(P155&lt;Param_1,Y155,A157*'Input data'!$B$25*SIN(RADIANS('Input data'!$B$10)))</f>
        <v>0</v>
      </c>
      <c r="Z156">
        <f>IF(P155&lt;Param_1,Z155,A157*'Input data'!$B$25*COS(RADIANS('Input data'!$B$10)))</f>
        <v>62.083333333333186</v>
      </c>
      <c r="AA156">
        <f t="shared" si="36"/>
        <v>14.899999999999963</v>
      </c>
      <c r="AB156">
        <f t="shared" si="37"/>
        <v>5.1999999999999975</v>
      </c>
      <c r="AC156">
        <f>IF(ROUND(A156*10,3)='Input data'!$B$14*10,M156,0)</f>
        <v>0</v>
      </c>
      <c r="AD156">
        <f>IF(ROUND(A156*10,3)='Input data'!$B$14*10,N156,0)</f>
        <v>0</v>
      </c>
      <c r="AE156">
        <f>IF(ROUND(A156*10,3)='Input data'!$B$14*10,P156,0)</f>
        <v>0</v>
      </c>
      <c r="AF156">
        <f>IF('Input data'!$B$26="C",IF((3.14159265*1860/4)*((0.001*'Input data'!$B$20)-(2*'Input data'!$B$28*A156))^2*((0.33333*0.001*'Input data'!$B$20)-(2*'Input data'!$B$28*A156))&lt;0,(3.14159265*1860/4)*((0.001*'Input data'!$B$20)-(2*'Input data'!$B$28*A156))^2*((0.33333*0.001*'Input data'!$B$20)-(2*'Input data'!$B$28*A156)),(3.14159265*1860/4)*((0.001*'Input data'!$B$20)-(2*'Input data'!$B$28*A156))^2*((0.33333*0.001*'Input data'!$B$20)-(2*'Input data'!$B$28*A156))),'Input data'!$B$21)</f>
        <v>0.40680208090393727</v>
      </c>
      <c r="AG156">
        <f t="shared" si="33"/>
        <v>0</v>
      </c>
      <c r="AH156">
        <f t="shared" si="34"/>
        <v>0</v>
      </c>
      <c r="AI156">
        <f t="shared" si="27"/>
        <v>0</v>
      </c>
      <c r="AJ156">
        <f t="shared" si="35"/>
        <v>3000</v>
      </c>
      <c r="AK156">
        <f>IF('Input data'!$B$26="S",'Input data'!$B$22,3.1415*(('Input data'!$B$20*0.0005)-('Input data'!$B$28*A156))^2)</f>
        <v>7.8539816250000026E-3</v>
      </c>
    </row>
    <row r="157" spans="1:37" x14ac:dyDescent="0.2">
      <c r="A157" s="9">
        <f>A156+'Input data'!$B$24</f>
        <v>14.999999999999963</v>
      </c>
      <c r="B157">
        <f>B156+(J156*'Input data'!$B$24)</f>
        <v>5.5202114455949136</v>
      </c>
      <c r="C157">
        <f>C156+(K156*'Input data'!$B$24)</f>
        <v>0</v>
      </c>
      <c r="D157">
        <f>D156+(L156*'Input data'!$B$24)</f>
        <v>-39.938503099830044</v>
      </c>
      <c r="E157">
        <f>IF('Input data'!$B$13=2,'Input data'!$B$25*((0.1036*LN(ABS(P156+1)))+0.8731),IF('Input data'!$B$13=3,'Input data'!$B$25*((0.139*LN(ABS(P156+1)))+0.7503),'Input data'!$B$25))</f>
        <v>5.6301351032067828</v>
      </c>
      <c r="F157">
        <f>E157*COS(RADIANS('Input data'!$B$10))</f>
        <v>5.6301351032067828</v>
      </c>
      <c r="G157">
        <f>E157*SIN(RADIANS('Input data'!$B$10))</f>
        <v>0</v>
      </c>
      <c r="H157">
        <f>1.22*EXP(-0.0001065*(P156+'Input data'!$B$12))</f>
        <v>1.233325864824522</v>
      </c>
      <c r="I157">
        <f t="shared" si="29"/>
        <v>39.938654372244905</v>
      </c>
      <c r="J157">
        <f>-0.5*H157*I157*AK157*'Input data'!$B$19*(B157-F157)/AF157</f>
        <v>2.6351833600016274E-2</v>
      </c>
      <c r="K157">
        <f>-0.5*H157*I157*AK157*'Input data'!$B$19*(C157-G157)/AF157</f>
        <v>0</v>
      </c>
      <c r="L157">
        <f>(-0.5*H157*AK157*I157*'Input data'!$B$19*D157/AF157)-'Input data'!$B$23</f>
        <v>-0.23060254284319548</v>
      </c>
      <c r="M157">
        <f>IF(AF157&gt;0,IF(P156&lt;=Param_1,M156,M156+(B158*'Input data'!$B$24)),M156)</f>
        <v>94.47854469234332</v>
      </c>
      <c r="N157">
        <f>IF(AF157&gt;0,IF(P156&lt;=Param_1,N156,N156+(C158*'Input data'!$B$24)),N156)</f>
        <v>0</v>
      </c>
      <c r="O157">
        <f t="shared" si="28"/>
        <v>0</v>
      </c>
      <c r="P157">
        <f>IF(P156&lt;=-100000,0,IF(AF157&gt;0,IF(P156&lt;Param_1,P156,P156+(D158*'Input data'!$B$24)),P156))</f>
        <v>-102.005790336941</v>
      </c>
      <c r="Q157">
        <f t="shared" si="30"/>
        <v>94.47854469234332</v>
      </c>
      <c r="T157">
        <f t="shared" si="31"/>
        <v>0</v>
      </c>
      <c r="U157">
        <f t="shared" si="32"/>
        <v>0</v>
      </c>
      <c r="V157" s="74">
        <f>IF(X157=0,'Input data'!$Q$22,Q157)</f>
        <v>80.034601194491032</v>
      </c>
      <c r="W157" s="74">
        <f>IF(U157=0,'Input data'!$Q$23,U157)</f>
        <v>0</v>
      </c>
      <c r="X157" s="74">
        <f t="shared" si="25"/>
        <v>0</v>
      </c>
      <c r="Y157">
        <f>IF(P156&lt;Param_1,Y156,A158*'Input data'!$B$25*SIN(RADIANS('Input data'!$B$10)))</f>
        <v>0</v>
      </c>
      <c r="Z157">
        <f>IF(P156&lt;Param_1,Z156,A158*'Input data'!$B$25*COS(RADIANS('Input data'!$B$10)))</f>
        <v>62.083333333333186</v>
      </c>
      <c r="AA157">
        <f t="shared" si="36"/>
        <v>14.899999999999963</v>
      </c>
      <c r="AB157">
        <f t="shared" si="37"/>
        <v>5.1999999999999975</v>
      </c>
      <c r="AC157">
        <f>IF(ROUND(A157*10,3)='Input data'!$B$14*10,M157,0)</f>
        <v>0</v>
      </c>
      <c r="AD157">
        <f>IF(ROUND(A157*10,3)='Input data'!$B$14*10,N157,0)</f>
        <v>0</v>
      </c>
      <c r="AE157">
        <f>IF(ROUND(A157*10,3)='Input data'!$B$14*10,P157,0)</f>
        <v>0</v>
      </c>
      <c r="AF157">
        <f>IF('Input data'!$B$26="C",IF((3.14159265*1860/4)*((0.001*'Input data'!$B$20)-(2*'Input data'!$B$28*A157))^2*((0.33333*0.001*'Input data'!$B$20)-(2*'Input data'!$B$28*A157))&lt;0,(3.14159265*1860/4)*((0.001*'Input data'!$B$20)-(2*'Input data'!$B$28*A157))^2*((0.33333*0.001*'Input data'!$B$20)-(2*'Input data'!$B$28*A157)),(3.14159265*1860/4)*((0.001*'Input data'!$B$20)-(2*'Input data'!$B$28*A157))^2*((0.33333*0.001*'Input data'!$B$20)-(2*'Input data'!$B$28*A157))),'Input data'!$B$21)</f>
        <v>0.40680208090393727</v>
      </c>
      <c r="AG157">
        <f t="shared" si="33"/>
        <v>0</v>
      </c>
      <c r="AH157">
        <f t="shared" si="34"/>
        <v>0</v>
      </c>
      <c r="AI157">
        <f t="shared" si="27"/>
        <v>0</v>
      </c>
      <c r="AJ157">
        <f t="shared" si="35"/>
        <v>3000</v>
      </c>
      <c r="AK157">
        <f>IF('Input data'!$B$26="S",'Input data'!$B$22,3.1415*(('Input data'!$B$20*0.0005)-('Input data'!$B$28*A157))^2)</f>
        <v>7.8539816250000026E-3</v>
      </c>
    </row>
    <row r="158" spans="1:37" x14ac:dyDescent="0.2">
      <c r="A158" s="9">
        <f>A157+'Input data'!$B$24</f>
        <v>15.099999999999962</v>
      </c>
      <c r="B158">
        <f>B157+(J157*'Input data'!$B$24)</f>
        <v>5.5228466289549152</v>
      </c>
      <c r="C158">
        <f>C157+(K157*'Input data'!$B$24)</f>
        <v>0</v>
      </c>
      <c r="D158">
        <f>D157+(L157*'Input data'!$B$24)</f>
        <v>-39.961563354114361</v>
      </c>
      <c r="E158">
        <f>IF('Input data'!$B$13=2,'Input data'!$B$25*((0.1036*LN(ABS(P157+1)))+0.8731),IF('Input data'!$B$13=3,'Input data'!$B$25*((0.139*LN(ABS(P157+1)))+0.7503),'Input data'!$B$25))</f>
        <v>5.6301351032067828</v>
      </c>
      <c r="F158">
        <f>E158*COS(RADIANS('Input data'!$B$10))</f>
        <v>5.6301351032067828</v>
      </c>
      <c r="G158">
        <f>E158*SIN(RADIANS('Input data'!$B$10))</f>
        <v>0</v>
      </c>
      <c r="H158">
        <f>1.22*EXP(-0.0001065*(P157+'Input data'!$B$12))</f>
        <v>1.233325864824522</v>
      </c>
      <c r="I158">
        <f t="shared" si="29"/>
        <v>39.961707377458275</v>
      </c>
      <c r="J158">
        <f>-0.5*H158*I158*AK158*'Input data'!$B$19*(B158-F158)/AF158</f>
        <v>2.5734950955976055E-2</v>
      </c>
      <c r="K158">
        <f>-0.5*H158*I158*AK158*'Input data'!$B$19*(C158-G158)/AF158</f>
        <v>0</v>
      </c>
      <c r="L158">
        <f>(-0.5*H158*AK158*I158*'Input data'!$B$19*D158/AF158)-'Input data'!$B$23</f>
        <v>-0.21954471029201805</v>
      </c>
      <c r="M158">
        <f>IF(AF158&gt;0,IF(P157&lt;=Param_1,M157,M157+(B159*'Input data'!$B$24)),M157)</f>
        <v>94.47854469234332</v>
      </c>
      <c r="N158">
        <f>IF(AF158&gt;0,IF(P157&lt;=Param_1,N157,N157+(C159*'Input data'!$B$24)),N157)</f>
        <v>0</v>
      </c>
      <c r="O158">
        <f t="shared" si="28"/>
        <v>0</v>
      </c>
      <c r="P158">
        <f>IF(P157&lt;=-100000,0,IF(AF158&gt;0,IF(P157&lt;Param_1,P157,P157+(D159*'Input data'!$B$24)),P157))</f>
        <v>-102.005790336941</v>
      </c>
      <c r="Q158">
        <f t="shared" si="30"/>
        <v>94.47854469234332</v>
      </c>
      <c r="T158">
        <f t="shared" si="31"/>
        <v>0</v>
      </c>
      <c r="U158">
        <f t="shared" si="32"/>
        <v>0</v>
      </c>
      <c r="V158" s="74">
        <f>IF(X158=0,'Input data'!$Q$22,Q158)</f>
        <v>80.034601194491032</v>
      </c>
      <c r="W158" s="74">
        <f>IF(U158=0,'Input data'!$Q$23,U158)</f>
        <v>0</v>
      </c>
      <c r="X158" s="74">
        <f t="shared" si="25"/>
        <v>0</v>
      </c>
      <c r="Y158">
        <f>IF(P157&lt;Param_1,Y157,A159*'Input data'!$B$25*SIN(RADIANS('Input data'!$B$10)))</f>
        <v>0</v>
      </c>
      <c r="Z158">
        <f>IF(P157&lt;Param_1,Z157,A159*'Input data'!$B$25*COS(RADIANS('Input data'!$B$10)))</f>
        <v>62.083333333333186</v>
      </c>
      <c r="AA158">
        <f t="shared" si="36"/>
        <v>14.899999999999963</v>
      </c>
      <c r="AB158">
        <f t="shared" si="37"/>
        <v>5.1999999999999975</v>
      </c>
      <c r="AC158">
        <f>IF(ROUND(A158*10,3)='Input data'!$B$14*10,M158,0)</f>
        <v>0</v>
      </c>
      <c r="AD158">
        <f>IF(ROUND(A158*10,3)='Input data'!$B$14*10,N158,0)</f>
        <v>0</v>
      </c>
      <c r="AE158">
        <f>IF(ROUND(A158*10,3)='Input data'!$B$14*10,P158,0)</f>
        <v>0</v>
      </c>
      <c r="AF158">
        <f>IF('Input data'!$B$26="C",IF((3.14159265*1860/4)*((0.001*'Input data'!$B$20)-(2*'Input data'!$B$28*A158))^2*((0.33333*0.001*'Input data'!$B$20)-(2*'Input data'!$B$28*A158))&lt;0,(3.14159265*1860/4)*((0.001*'Input data'!$B$20)-(2*'Input data'!$B$28*A158))^2*((0.33333*0.001*'Input data'!$B$20)-(2*'Input data'!$B$28*A158)),(3.14159265*1860/4)*((0.001*'Input data'!$B$20)-(2*'Input data'!$B$28*A158))^2*((0.33333*0.001*'Input data'!$B$20)-(2*'Input data'!$B$28*A158))),'Input data'!$B$21)</f>
        <v>0.40680208090393727</v>
      </c>
      <c r="AG158">
        <f t="shared" si="33"/>
        <v>0</v>
      </c>
      <c r="AH158">
        <f t="shared" si="34"/>
        <v>0</v>
      </c>
      <c r="AI158">
        <f t="shared" si="27"/>
        <v>0</v>
      </c>
      <c r="AJ158">
        <f t="shared" si="35"/>
        <v>3000</v>
      </c>
      <c r="AK158">
        <f>IF('Input data'!$B$26="S",'Input data'!$B$22,3.1415*(('Input data'!$B$20*0.0005)-('Input data'!$B$28*A158))^2)</f>
        <v>7.8539816250000026E-3</v>
      </c>
    </row>
    <row r="159" spans="1:37" x14ac:dyDescent="0.2">
      <c r="A159" s="9">
        <f>A158+'Input data'!$B$24</f>
        <v>15.199999999999962</v>
      </c>
      <c r="B159">
        <f>B158+(J158*'Input data'!$B$24)</f>
        <v>5.5254201240505125</v>
      </c>
      <c r="C159">
        <f>C158+(K158*'Input data'!$B$24)</f>
        <v>0</v>
      </c>
      <c r="D159">
        <f>D158+(L158*'Input data'!$B$24)</f>
        <v>-39.983517825143565</v>
      </c>
      <c r="E159">
        <f>IF('Input data'!$B$13=2,'Input data'!$B$25*((0.1036*LN(ABS(P158+1)))+0.8731),IF('Input data'!$B$13=3,'Input data'!$B$25*((0.139*LN(ABS(P158+1)))+0.7503),'Input data'!$B$25))</f>
        <v>5.6301351032067828</v>
      </c>
      <c r="F159">
        <f>E159*COS(RADIANS('Input data'!$B$10))</f>
        <v>5.6301351032067828</v>
      </c>
      <c r="G159">
        <f>E159*SIN(RADIANS('Input data'!$B$10))</f>
        <v>0</v>
      </c>
      <c r="H159">
        <f>1.22*EXP(-0.0001065*(P158+'Input data'!$B$12))</f>
        <v>1.233325864824522</v>
      </c>
      <c r="I159">
        <f t="shared" si="29"/>
        <v>39.983654946745837</v>
      </c>
      <c r="J159">
        <f>-0.5*H159*I159*AK159*'Input data'!$B$19*(B159-F159)/AF159</f>
        <v>2.5131449724488684E-2</v>
      </c>
      <c r="K159">
        <f>-0.5*H159*I159*AK159*'Input data'!$B$19*(C159-G159)/AF159</f>
        <v>0</v>
      </c>
      <c r="L159">
        <f>(-0.5*H159*AK159*I159*'Input data'!$B$19*D159/AF159)-'Input data'!$B$23</f>
        <v>-0.20901119183507788</v>
      </c>
      <c r="M159">
        <f>IF(AF159&gt;0,IF(P158&lt;=Param_1,M158,M158+(B160*'Input data'!$B$24)),M158)</f>
        <v>94.47854469234332</v>
      </c>
      <c r="N159">
        <f>IF(AF159&gt;0,IF(P158&lt;=Param_1,N158,N158+(C160*'Input data'!$B$24)),N158)</f>
        <v>0</v>
      </c>
      <c r="O159">
        <f t="shared" si="28"/>
        <v>0</v>
      </c>
      <c r="P159">
        <f>IF(P158&lt;=-100000,0,IF(AF159&gt;0,IF(P158&lt;Param_1,P158,P158+(D160*'Input data'!$B$24)),P158))</f>
        <v>-102.005790336941</v>
      </c>
      <c r="Q159">
        <f t="shared" si="30"/>
        <v>94.47854469234332</v>
      </c>
      <c r="T159">
        <f t="shared" si="31"/>
        <v>0</v>
      </c>
      <c r="U159">
        <f t="shared" si="32"/>
        <v>0</v>
      </c>
      <c r="V159" s="74">
        <f>IF(X159=0,'Input data'!$Q$22,Q159)</f>
        <v>80.034601194491032</v>
      </c>
      <c r="W159" s="74">
        <f>IF(U159=0,'Input data'!$Q$23,U159)</f>
        <v>0</v>
      </c>
      <c r="X159" s="74">
        <f t="shared" ref="X159:X222" si="38">IF(P159&lt;0,0,P159)</f>
        <v>0</v>
      </c>
      <c r="Y159">
        <f>IF(P158&lt;Param_1,Y158,A160*'Input data'!$B$25*SIN(RADIANS('Input data'!$B$10)))</f>
        <v>0</v>
      </c>
      <c r="Z159">
        <f>IF(P158&lt;Param_1,Z158,A160*'Input data'!$B$25*COS(RADIANS('Input data'!$B$10)))</f>
        <v>62.083333333333186</v>
      </c>
      <c r="AA159">
        <f t="shared" si="36"/>
        <v>14.899999999999963</v>
      </c>
      <c r="AB159">
        <f t="shared" si="37"/>
        <v>5.1999999999999975</v>
      </c>
      <c r="AC159">
        <f>IF(ROUND(A159*10,3)='Input data'!$B$14*10,M159,0)</f>
        <v>0</v>
      </c>
      <c r="AD159">
        <f>IF(ROUND(A159*10,3)='Input data'!$B$14*10,N159,0)</f>
        <v>0</v>
      </c>
      <c r="AE159">
        <f>IF(ROUND(A159*10,3)='Input data'!$B$14*10,P159,0)</f>
        <v>0</v>
      </c>
      <c r="AF159">
        <f>IF('Input data'!$B$26="C",IF((3.14159265*1860/4)*((0.001*'Input data'!$B$20)-(2*'Input data'!$B$28*A159))^2*((0.33333*0.001*'Input data'!$B$20)-(2*'Input data'!$B$28*A159))&lt;0,(3.14159265*1860/4)*((0.001*'Input data'!$B$20)-(2*'Input data'!$B$28*A159))^2*((0.33333*0.001*'Input data'!$B$20)-(2*'Input data'!$B$28*A159)),(3.14159265*1860/4)*((0.001*'Input data'!$B$20)-(2*'Input data'!$B$28*A159))^2*((0.33333*0.001*'Input data'!$B$20)-(2*'Input data'!$B$28*A159))),'Input data'!$B$21)</f>
        <v>0.40680208090393727</v>
      </c>
      <c r="AG159">
        <f t="shared" si="33"/>
        <v>0</v>
      </c>
      <c r="AH159">
        <f t="shared" si="34"/>
        <v>0</v>
      </c>
      <c r="AI159">
        <f t="shared" si="27"/>
        <v>0</v>
      </c>
      <c r="AJ159">
        <f t="shared" si="35"/>
        <v>3000</v>
      </c>
      <c r="AK159">
        <f>IF('Input data'!$B$26="S",'Input data'!$B$22,3.1415*(('Input data'!$B$20*0.0005)-('Input data'!$B$28*A159))^2)</f>
        <v>7.8539816250000026E-3</v>
      </c>
    </row>
    <row r="160" spans="1:37" x14ac:dyDescent="0.2">
      <c r="A160" s="9">
        <f>A159+'Input data'!$B$24</f>
        <v>15.299999999999962</v>
      </c>
      <c r="B160">
        <f>B159+(J159*'Input data'!$B$24)</f>
        <v>5.5279332690229612</v>
      </c>
      <c r="C160">
        <f>C159+(K159*'Input data'!$B$24)</f>
        <v>0</v>
      </c>
      <c r="D160">
        <f>D159+(L159*'Input data'!$B$24)</f>
        <v>-40.004418944327071</v>
      </c>
      <c r="E160">
        <f>IF('Input data'!$B$13=2,'Input data'!$B$25*((0.1036*LN(ABS(P159+1)))+0.8731),IF('Input data'!$B$13=3,'Input data'!$B$25*((0.139*LN(ABS(P159+1)))+0.7503),'Input data'!$B$25))</f>
        <v>5.6301351032067828</v>
      </c>
      <c r="F160">
        <f>E160*COS(RADIANS('Input data'!$B$10))</f>
        <v>5.6301351032067828</v>
      </c>
      <c r="G160">
        <f>E160*SIN(RADIANS('Input data'!$B$10))</f>
        <v>0</v>
      </c>
      <c r="H160">
        <f>1.22*EXP(-0.0001065*(P159+'Input data'!$B$12))</f>
        <v>1.233325864824522</v>
      </c>
      <c r="I160">
        <f t="shared" si="29"/>
        <v>40.00454949487802</v>
      </c>
      <c r="J160">
        <f>-0.5*H160*I160*AK160*'Input data'!$B$19*(B160-F160)/AF160</f>
        <v>2.4541116348174359E-2</v>
      </c>
      <c r="K160">
        <f>-0.5*H160*I160*AK160*'Input data'!$B$19*(C160-G160)/AF160</f>
        <v>0</v>
      </c>
      <c r="L160">
        <f>(-0.5*H160*AK160*I160*'Input data'!$B$19*D160/AF160)-'Input data'!$B$23</f>
        <v>-0.19897768548804251</v>
      </c>
      <c r="M160">
        <f>IF(AF160&gt;0,IF(P159&lt;=Param_1,M159,M159+(B161*'Input data'!$B$24)),M159)</f>
        <v>94.47854469234332</v>
      </c>
      <c r="N160">
        <f>IF(AF160&gt;0,IF(P159&lt;=Param_1,N159,N159+(C161*'Input data'!$B$24)),N159)</f>
        <v>0</v>
      </c>
      <c r="O160">
        <f t="shared" si="28"/>
        <v>0</v>
      </c>
      <c r="P160">
        <f>IF(P159&lt;=-100000,0,IF(AF160&gt;0,IF(P159&lt;Param_1,P159,P159+(D161*'Input data'!$B$24)),P159))</f>
        <v>-102.005790336941</v>
      </c>
      <c r="Q160">
        <f t="shared" si="30"/>
        <v>94.47854469234332</v>
      </c>
      <c r="T160">
        <f t="shared" si="31"/>
        <v>0</v>
      </c>
      <c r="U160">
        <f t="shared" si="32"/>
        <v>0</v>
      </c>
      <c r="V160" s="74">
        <f>IF(X160=0,'Input data'!$Q$22,Q160)</f>
        <v>80.034601194491032</v>
      </c>
      <c r="W160" s="74">
        <f>IF(U160=0,'Input data'!$Q$23,U160)</f>
        <v>0</v>
      </c>
      <c r="X160" s="74">
        <f t="shared" si="38"/>
        <v>0</v>
      </c>
      <c r="Y160">
        <f>IF(P159&lt;Param_1,Y159,A161*'Input data'!$B$25*SIN(RADIANS('Input data'!$B$10)))</f>
        <v>0</v>
      </c>
      <c r="Z160">
        <f>IF(P159&lt;Param_1,Z159,A161*'Input data'!$B$25*COS(RADIANS('Input data'!$B$10)))</f>
        <v>62.083333333333186</v>
      </c>
      <c r="AA160">
        <f t="shared" si="36"/>
        <v>14.899999999999963</v>
      </c>
      <c r="AB160">
        <f t="shared" si="37"/>
        <v>5.1999999999999975</v>
      </c>
      <c r="AC160">
        <f>IF(ROUND(A160*10,3)='Input data'!$B$14*10,M160,0)</f>
        <v>0</v>
      </c>
      <c r="AD160">
        <f>IF(ROUND(A160*10,3)='Input data'!$B$14*10,N160,0)</f>
        <v>0</v>
      </c>
      <c r="AE160">
        <f>IF(ROUND(A160*10,3)='Input data'!$B$14*10,P160,0)</f>
        <v>0</v>
      </c>
      <c r="AF160">
        <f>IF('Input data'!$B$26="C",IF((3.14159265*1860/4)*((0.001*'Input data'!$B$20)-(2*'Input data'!$B$28*A160))^2*((0.33333*0.001*'Input data'!$B$20)-(2*'Input data'!$B$28*A160))&lt;0,(3.14159265*1860/4)*((0.001*'Input data'!$B$20)-(2*'Input data'!$B$28*A160))^2*((0.33333*0.001*'Input data'!$B$20)-(2*'Input data'!$B$28*A160)),(3.14159265*1860/4)*((0.001*'Input data'!$B$20)-(2*'Input data'!$B$28*A160))^2*((0.33333*0.001*'Input data'!$B$20)-(2*'Input data'!$B$28*A160))),'Input data'!$B$21)</f>
        <v>0.40680208090393727</v>
      </c>
      <c r="AG160">
        <f t="shared" si="33"/>
        <v>0</v>
      </c>
      <c r="AH160">
        <f t="shared" si="34"/>
        <v>0</v>
      </c>
      <c r="AI160">
        <f t="shared" si="27"/>
        <v>0</v>
      </c>
      <c r="AJ160">
        <f t="shared" si="35"/>
        <v>3000</v>
      </c>
      <c r="AK160">
        <f>IF('Input data'!$B$26="S",'Input data'!$B$22,3.1415*(('Input data'!$B$20*0.0005)-('Input data'!$B$28*A160))^2)</f>
        <v>7.8539816250000026E-3</v>
      </c>
    </row>
    <row r="161" spans="1:37" x14ac:dyDescent="0.2">
      <c r="A161" s="9">
        <f>A160+'Input data'!$B$24</f>
        <v>15.399999999999961</v>
      </c>
      <c r="B161">
        <f>B160+(J160*'Input data'!$B$24)</f>
        <v>5.5303873806577784</v>
      </c>
      <c r="C161">
        <f>C160+(K160*'Input data'!$B$24)</f>
        <v>0</v>
      </c>
      <c r="D161">
        <f>D160+(L160*'Input data'!$B$24)</f>
        <v>-40.024316712875873</v>
      </c>
      <c r="E161">
        <f>IF('Input data'!$B$13=2,'Input data'!$B$25*((0.1036*LN(ABS(P160+1)))+0.8731),IF('Input data'!$B$13=3,'Input data'!$B$25*((0.139*LN(ABS(P160+1)))+0.7503),'Input data'!$B$25))</f>
        <v>5.6301351032067828</v>
      </c>
      <c r="F161">
        <f>E161*COS(RADIANS('Input data'!$B$10))</f>
        <v>5.6301351032067828</v>
      </c>
      <c r="G161">
        <f>E161*SIN(RADIANS('Input data'!$B$10))</f>
        <v>0</v>
      </c>
      <c r="H161">
        <f>1.22*EXP(-0.0001065*(P160+'Input data'!$B$12))</f>
        <v>1.233325864824522</v>
      </c>
      <c r="I161">
        <f t="shared" si="29"/>
        <v>40.024441007223928</v>
      </c>
      <c r="J161">
        <f>-0.5*H161*I161*AK161*'Input data'!$B$19*(B161-F161)/AF161</f>
        <v>2.3963734767224344E-2</v>
      </c>
      <c r="K161">
        <f>-0.5*H161*I161*AK161*'Input data'!$B$19*(C161-G161)/AF161</f>
        <v>0</v>
      </c>
      <c r="L161">
        <f>(-0.5*H161*AK161*I161*'Input data'!$B$19*D161/AF161)-'Input data'!$B$23</f>
        <v>-0.18942096283916854</v>
      </c>
      <c r="M161">
        <f>IF(AF161&gt;0,IF(P160&lt;=Param_1,M160,M160+(B162*'Input data'!$B$24)),M160)</f>
        <v>94.47854469234332</v>
      </c>
      <c r="N161">
        <f>IF(AF161&gt;0,IF(P160&lt;=Param_1,N160,N160+(C162*'Input data'!$B$24)),N160)</f>
        <v>0</v>
      </c>
      <c r="O161">
        <f t="shared" si="28"/>
        <v>0</v>
      </c>
      <c r="P161">
        <f>IF(P160&lt;=-100000,0,IF(AF161&gt;0,IF(P160&lt;Param_1,P160,P160+(D162*'Input data'!$B$24)),P160))</f>
        <v>-102.005790336941</v>
      </c>
      <c r="Q161">
        <f t="shared" si="30"/>
        <v>94.47854469234332</v>
      </c>
      <c r="T161">
        <f t="shared" si="31"/>
        <v>0</v>
      </c>
      <c r="U161">
        <f t="shared" si="32"/>
        <v>0</v>
      </c>
      <c r="V161" s="74">
        <f>IF(X161=0,'Input data'!$Q$22,Q161)</f>
        <v>80.034601194491032</v>
      </c>
      <c r="W161" s="74">
        <f>IF(U161=0,'Input data'!$Q$23,U161)</f>
        <v>0</v>
      </c>
      <c r="X161" s="74">
        <f t="shared" si="38"/>
        <v>0</v>
      </c>
      <c r="Y161">
        <f>IF(P160&lt;Param_1,Y160,A162*'Input data'!$B$25*SIN(RADIANS('Input data'!$B$10)))</f>
        <v>0</v>
      </c>
      <c r="Z161">
        <f>IF(P160&lt;Param_1,Z160,A162*'Input data'!$B$25*COS(RADIANS('Input data'!$B$10)))</f>
        <v>62.083333333333186</v>
      </c>
      <c r="AA161">
        <f t="shared" si="36"/>
        <v>14.899999999999963</v>
      </c>
      <c r="AB161">
        <f t="shared" si="37"/>
        <v>5.1999999999999975</v>
      </c>
      <c r="AC161">
        <f>IF(ROUND(A161*10,3)='Input data'!$B$14*10,M161,0)</f>
        <v>0</v>
      </c>
      <c r="AD161">
        <f>IF(ROUND(A161*10,3)='Input data'!$B$14*10,N161,0)</f>
        <v>0</v>
      </c>
      <c r="AE161">
        <f>IF(ROUND(A161*10,3)='Input data'!$B$14*10,P161,0)</f>
        <v>0</v>
      </c>
      <c r="AF161">
        <f>IF('Input data'!$B$26="C",IF((3.14159265*1860/4)*((0.001*'Input data'!$B$20)-(2*'Input data'!$B$28*A161))^2*((0.33333*0.001*'Input data'!$B$20)-(2*'Input data'!$B$28*A161))&lt;0,(3.14159265*1860/4)*((0.001*'Input data'!$B$20)-(2*'Input data'!$B$28*A161))^2*((0.33333*0.001*'Input data'!$B$20)-(2*'Input data'!$B$28*A161)),(3.14159265*1860/4)*((0.001*'Input data'!$B$20)-(2*'Input data'!$B$28*A161))^2*((0.33333*0.001*'Input data'!$B$20)-(2*'Input data'!$B$28*A161))),'Input data'!$B$21)</f>
        <v>0.40680208090393727</v>
      </c>
      <c r="AG161">
        <f t="shared" si="33"/>
        <v>0</v>
      </c>
      <c r="AH161">
        <f t="shared" si="34"/>
        <v>0</v>
      </c>
      <c r="AI161">
        <f t="shared" si="27"/>
        <v>0</v>
      </c>
      <c r="AJ161">
        <f t="shared" si="35"/>
        <v>3000</v>
      </c>
      <c r="AK161">
        <f>IF('Input data'!$B$26="S",'Input data'!$B$22,3.1415*(('Input data'!$B$20*0.0005)-('Input data'!$B$28*A161))^2)</f>
        <v>7.8539816250000026E-3</v>
      </c>
    </row>
    <row r="162" spans="1:37" x14ac:dyDescent="0.2">
      <c r="A162" s="9">
        <f>A161+'Input data'!$B$24</f>
        <v>15.499999999999961</v>
      </c>
      <c r="B162">
        <f>B161+(J161*'Input data'!$B$24)</f>
        <v>5.5327837541345009</v>
      </c>
      <c r="C162">
        <f>C161+(K161*'Input data'!$B$24)</f>
        <v>0</v>
      </c>
      <c r="D162">
        <f>D161+(L161*'Input data'!$B$24)</f>
        <v>-40.043258809159788</v>
      </c>
      <c r="E162">
        <f>IF('Input data'!$B$13=2,'Input data'!$B$25*((0.1036*LN(ABS(P161+1)))+0.8731),IF('Input data'!$B$13=3,'Input data'!$B$25*((0.139*LN(ABS(P161+1)))+0.7503),'Input data'!$B$25))</f>
        <v>5.6301351032067828</v>
      </c>
      <c r="F162">
        <f>E162*COS(RADIANS('Input data'!$B$10))</f>
        <v>5.6301351032067828</v>
      </c>
      <c r="G162">
        <f>E162*SIN(RADIANS('Input data'!$B$10))</f>
        <v>0</v>
      </c>
      <c r="H162">
        <f>1.22*EXP(-0.0001065*(P161+'Input data'!$B$12))</f>
        <v>1.233325864824522</v>
      </c>
      <c r="I162">
        <f t="shared" si="29"/>
        <v>40.043377147070387</v>
      </c>
      <c r="J162">
        <f>-0.5*H162*I162*AK162*'Input data'!$B$19*(B162-F162)/AF162</f>
        <v>2.3399086999365725E-2</v>
      </c>
      <c r="K162">
        <f>-0.5*H162*I162*AK162*'Input data'!$B$19*(C162-G162)/AF162</f>
        <v>0</v>
      </c>
      <c r="L162">
        <f>(-0.5*H162*AK162*I162*'Input data'!$B$19*D162/AF162)-'Input data'!$B$23</f>
        <v>-0.18031882667638044</v>
      </c>
      <c r="M162">
        <f>IF(AF162&gt;0,IF(P161&lt;=Param_1,M161,M161+(B163*'Input data'!$B$24)),M161)</f>
        <v>94.47854469234332</v>
      </c>
      <c r="N162">
        <f>IF(AF162&gt;0,IF(P161&lt;=Param_1,N161,N161+(C163*'Input data'!$B$24)),N161)</f>
        <v>0</v>
      </c>
      <c r="O162">
        <f t="shared" si="28"/>
        <v>0</v>
      </c>
      <c r="P162">
        <f>IF(P161&lt;=-100000,0,IF(AF162&gt;0,IF(P161&lt;Param_1,P161,P161+(D163*'Input data'!$B$24)),P161))</f>
        <v>-102.005790336941</v>
      </c>
      <c r="Q162">
        <f t="shared" si="30"/>
        <v>94.47854469234332</v>
      </c>
      <c r="T162">
        <f t="shared" si="31"/>
        <v>0</v>
      </c>
      <c r="U162">
        <f t="shared" si="32"/>
        <v>0</v>
      </c>
      <c r="V162" s="74">
        <f>IF(X162=0,'Input data'!$Q$22,Q162)</f>
        <v>80.034601194491032</v>
      </c>
      <c r="W162" s="74">
        <f>IF(U162=0,'Input data'!$Q$23,U162)</f>
        <v>0</v>
      </c>
      <c r="X162" s="74">
        <f t="shared" si="38"/>
        <v>0</v>
      </c>
      <c r="Y162">
        <f>IF(P161&lt;Param_1,Y161,A163*'Input data'!$B$25*SIN(RADIANS('Input data'!$B$10)))</f>
        <v>0</v>
      </c>
      <c r="Z162">
        <f>IF(P161&lt;Param_1,Z161,A163*'Input data'!$B$25*COS(RADIANS('Input data'!$B$10)))</f>
        <v>62.083333333333186</v>
      </c>
      <c r="AA162">
        <f t="shared" si="36"/>
        <v>14.899999999999963</v>
      </c>
      <c r="AB162">
        <f t="shared" si="37"/>
        <v>5.1999999999999975</v>
      </c>
      <c r="AC162">
        <f>IF(ROUND(A162*10,3)='Input data'!$B$14*10,M162,0)</f>
        <v>0</v>
      </c>
      <c r="AD162">
        <f>IF(ROUND(A162*10,3)='Input data'!$B$14*10,N162,0)</f>
        <v>0</v>
      </c>
      <c r="AE162">
        <f>IF(ROUND(A162*10,3)='Input data'!$B$14*10,P162,0)</f>
        <v>0</v>
      </c>
      <c r="AF162">
        <f>IF('Input data'!$B$26="C",IF((3.14159265*1860/4)*((0.001*'Input data'!$B$20)-(2*'Input data'!$B$28*A162))^2*((0.33333*0.001*'Input data'!$B$20)-(2*'Input data'!$B$28*A162))&lt;0,(3.14159265*1860/4)*((0.001*'Input data'!$B$20)-(2*'Input data'!$B$28*A162))^2*((0.33333*0.001*'Input data'!$B$20)-(2*'Input data'!$B$28*A162)),(3.14159265*1860/4)*((0.001*'Input data'!$B$20)-(2*'Input data'!$B$28*A162))^2*((0.33333*0.001*'Input data'!$B$20)-(2*'Input data'!$B$28*A162))),'Input data'!$B$21)</f>
        <v>0.40680208090393727</v>
      </c>
      <c r="AG162">
        <f t="shared" si="33"/>
        <v>0</v>
      </c>
      <c r="AH162">
        <f t="shared" si="34"/>
        <v>0</v>
      </c>
      <c r="AI162">
        <f t="shared" si="27"/>
        <v>0</v>
      </c>
      <c r="AJ162">
        <f t="shared" si="35"/>
        <v>3000</v>
      </c>
      <c r="AK162">
        <f>IF('Input data'!$B$26="S",'Input data'!$B$22,3.1415*(('Input data'!$B$20*0.0005)-('Input data'!$B$28*A162))^2)</f>
        <v>7.8539816250000026E-3</v>
      </c>
    </row>
    <row r="163" spans="1:37" x14ac:dyDescent="0.2">
      <c r="A163" s="9">
        <f>A162+'Input data'!$B$24</f>
        <v>15.599999999999961</v>
      </c>
      <c r="B163">
        <f>B162+(J162*'Input data'!$B$24)</f>
        <v>5.5351236628344376</v>
      </c>
      <c r="C163">
        <f>C162+(K162*'Input data'!$B$24)</f>
        <v>0</v>
      </c>
      <c r="D163">
        <f>D162+(L162*'Input data'!$B$24)</f>
        <v>-40.061290691827423</v>
      </c>
      <c r="E163">
        <f>IF('Input data'!$B$13=2,'Input data'!$B$25*((0.1036*LN(ABS(P162+1)))+0.8731),IF('Input data'!$B$13=3,'Input data'!$B$25*((0.139*LN(ABS(P162+1)))+0.7503),'Input data'!$B$25))</f>
        <v>5.6301351032067828</v>
      </c>
      <c r="F163">
        <f>E163*COS(RADIANS('Input data'!$B$10))</f>
        <v>5.6301351032067828</v>
      </c>
      <c r="G163">
        <f>E163*SIN(RADIANS('Input data'!$B$10))</f>
        <v>0</v>
      </c>
      <c r="H163">
        <f>1.22*EXP(-0.0001065*(P162+'Input data'!$B$12))</f>
        <v>1.233325864824522</v>
      </c>
      <c r="I163">
        <f t="shared" si="29"/>
        <v>40.061403358705498</v>
      </c>
      <c r="J163">
        <f>-0.5*H163*I163*AK163*'Input data'!$B$19*(B163-F163)/AF163</f>
        <v>2.2846953672090831E-2</v>
      </c>
      <c r="K163">
        <f>-0.5*H163*I163*AK163*'Input data'!$B$19*(C163-G163)/AF163</f>
        <v>0</v>
      </c>
      <c r="L163">
        <f>(-0.5*H163*AK163*I163*'Input data'!$B$19*D163/AF163)-'Input data'!$B$23</f>
        <v>-0.17165006978724939</v>
      </c>
      <c r="M163">
        <f>IF(AF163&gt;0,IF(P162&lt;=Param_1,M162,M162+(B164*'Input data'!$B$24)),M162)</f>
        <v>94.47854469234332</v>
      </c>
      <c r="N163">
        <f>IF(AF163&gt;0,IF(P162&lt;=Param_1,N162,N162+(C164*'Input data'!$B$24)),N162)</f>
        <v>0</v>
      </c>
      <c r="O163">
        <f t="shared" si="28"/>
        <v>0</v>
      </c>
      <c r="P163">
        <f>IF(P162&lt;=-100000,0,IF(AF163&gt;0,IF(P162&lt;Param_1,P162,P162+(D164*'Input data'!$B$24)),P162))</f>
        <v>-102.005790336941</v>
      </c>
      <c r="Q163">
        <f t="shared" si="30"/>
        <v>94.47854469234332</v>
      </c>
      <c r="T163">
        <f t="shared" si="31"/>
        <v>0</v>
      </c>
      <c r="U163">
        <f t="shared" si="32"/>
        <v>0</v>
      </c>
      <c r="V163" s="74">
        <f>IF(X163=0,'Input data'!$Q$22,Q163)</f>
        <v>80.034601194491032</v>
      </c>
      <c r="W163" s="74">
        <f>IF(U163=0,'Input data'!$Q$23,U163)</f>
        <v>0</v>
      </c>
      <c r="X163" s="74">
        <f t="shared" si="38"/>
        <v>0</v>
      </c>
      <c r="Y163">
        <f>IF(P162&lt;Param_1,Y162,A164*'Input data'!$B$25*SIN(RADIANS('Input data'!$B$10)))</f>
        <v>0</v>
      </c>
      <c r="Z163">
        <f>IF(P162&lt;Param_1,Z162,A164*'Input data'!$B$25*COS(RADIANS('Input data'!$B$10)))</f>
        <v>62.083333333333186</v>
      </c>
      <c r="AA163">
        <f t="shared" si="36"/>
        <v>14.899999999999963</v>
      </c>
      <c r="AB163">
        <f t="shared" si="37"/>
        <v>5.1999999999999975</v>
      </c>
      <c r="AC163">
        <f>IF(ROUND(A163*10,3)='Input data'!$B$14*10,M163,0)</f>
        <v>0</v>
      </c>
      <c r="AD163">
        <f>IF(ROUND(A163*10,3)='Input data'!$B$14*10,N163,0)</f>
        <v>0</v>
      </c>
      <c r="AE163">
        <f>IF(ROUND(A163*10,3)='Input data'!$B$14*10,P163,0)</f>
        <v>0</v>
      </c>
      <c r="AF163">
        <f>IF('Input data'!$B$26="C",IF((3.14159265*1860/4)*((0.001*'Input data'!$B$20)-(2*'Input data'!$B$28*A163))^2*((0.33333*0.001*'Input data'!$B$20)-(2*'Input data'!$B$28*A163))&lt;0,(3.14159265*1860/4)*((0.001*'Input data'!$B$20)-(2*'Input data'!$B$28*A163))^2*((0.33333*0.001*'Input data'!$B$20)-(2*'Input data'!$B$28*A163)),(3.14159265*1860/4)*((0.001*'Input data'!$B$20)-(2*'Input data'!$B$28*A163))^2*((0.33333*0.001*'Input data'!$B$20)-(2*'Input data'!$B$28*A163))),'Input data'!$B$21)</f>
        <v>0.40680208090393727</v>
      </c>
      <c r="AG163">
        <f t="shared" si="33"/>
        <v>0</v>
      </c>
      <c r="AH163">
        <f t="shared" si="34"/>
        <v>0</v>
      </c>
      <c r="AI163">
        <f t="shared" ref="AI163:AI194" si="39">IF(AF163&lt;=0,P163,0)</f>
        <v>0</v>
      </c>
      <c r="AJ163">
        <f t="shared" si="35"/>
        <v>3000</v>
      </c>
      <c r="AK163">
        <f>IF('Input data'!$B$26="S",'Input data'!$B$22,3.1415*(('Input data'!$B$20*0.0005)-('Input data'!$B$28*A163))^2)</f>
        <v>7.8539816250000026E-3</v>
      </c>
    </row>
    <row r="164" spans="1:37" x14ac:dyDescent="0.2">
      <c r="A164" s="9">
        <f>A163+'Input data'!$B$24</f>
        <v>15.69999999999996</v>
      </c>
      <c r="B164">
        <f>B163+(J163*'Input data'!$B$24)</f>
        <v>5.5374083582016462</v>
      </c>
      <c r="C164">
        <f>C163+(K163*'Input data'!$B$24)</f>
        <v>0</v>
      </c>
      <c r="D164">
        <f>D163+(L163*'Input data'!$B$24)</f>
        <v>-40.078455698806145</v>
      </c>
      <c r="E164">
        <f>IF('Input data'!$B$13=2,'Input data'!$B$25*((0.1036*LN(ABS(P163+1)))+0.8731),IF('Input data'!$B$13=3,'Input data'!$B$25*((0.139*LN(ABS(P163+1)))+0.7503),'Input data'!$B$25))</f>
        <v>5.6301351032067828</v>
      </c>
      <c r="F164">
        <f>E164*COS(RADIANS('Input data'!$B$10))</f>
        <v>5.6301351032067828</v>
      </c>
      <c r="G164">
        <f>E164*SIN(RADIANS('Input data'!$B$10))</f>
        <v>0</v>
      </c>
      <c r="H164">
        <f>1.22*EXP(-0.0001065*(P163+'Input data'!$B$12))</f>
        <v>1.233325864824522</v>
      </c>
      <c r="I164">
        <f t="shared" si="29"/>
        <v>40.078562966383984</v>
      </c>
      <c r="J164">
        <f>-0.5*H164*I164*AK164*'Input data'!$B$19*(B164-F164)/AF164</f>
        <v>2.2307114510322659E-2</v>
      </c>
      <c r="K164">
        <f>-0.5*H164*I164*AK164*'Input data'!$B$19*(C164-G164)/AF164</f>
        <v>0</v>
      </c>
      <c r="L164">
        <f>(-0.5*H164*AK164*I164*'Input data'!$B$19*D164/AF164)-'Input data'!$B$23</f>
        <v>-0.16339443495360584</v>
      </c>
      <c r="M164">
        <f>IF(AF164&gt;0,IF(P163&lt;=Param_1,M163,M163+(B165*'Input data'!$B$24)),M163)</f>
        <v>94.47854469234332</v>
      </c>
      <c r="N164">
        <f>IF(AF164&gt;0,IF(P163&lt;=Param_1,N163,N163+(C165*'Input data'!$B$24)),N163)</f>
        <v>0</v>
      </c>
      <c r="O164">
        <f t="shared" si="28"/>
        <v>0</v>
      </c>
      <c r="P164">
        <f>IF(P163&lt;=-100000,0,IF(AF164&gt;0,IF(P163&lt;Param_1,P163,P163+(D165*'Input data'!$B$24)),P163))</f>
        <v>-102.005790336941</v>
      </c>
      <c r="Q164">
        <f t="shared" si="30"/>
        <v>94.47854469234332</v>
      </c>
      <c r="T164">
        <f t="shared" si="31"/>
        <v>0</v>
      </c>
      <c r="U164">
        <f t="shared" si="32"/>
        <v>0</v>
      </c>
      <c r="V164" s="74">
        <f>IF(X164=0,'Input data'!$Q$22,Q164)</f>
        <v>80.034601194491032</v>
      </c>
      <c r="W164" s="74">
        <f>IF(U164=0,'Input data'!$Q$23,U164)</f>
        <v>0</v>
      </c>
      <c r="X164" s="74">
        <f t="shared" si="38"/>
        <v>0</v>
      </c>
      <c r="Y164">
        <f>IF(P163&lt;Param_1,Y163,A165*'Input data'!$B$25*SIN(RADIANS('Input data'!$B$10)))</f>
        <v>0</v>
      </c>
      <c r="Z164">
        <f>IF(P163&lt;Param_1,Z163,A165*'Input data'!$B$25*COS(RADIANS('Input data'!$B$10)))</f>
        <v>62.083333333333186</v>
      </c>
      <c r="AA164">
        <f t="shared" si="36"/>
        <v>14.899999999999963</v>
      </c>
      <c r="AB164">
        <f t="shared" si="37"/>
        <v>5.1999999999999975</v>
      </c>
      <c r="AC164">
        <f>IF(ROUND(A164*10,3)='Input data'!$B$14*10,M164,0)</f>
        <v>0</v>
      </c>
      <c r="AD164">
        <f>IF(ROUND(A164*10,3)='Input data'!$B$14*10,N164,0)</f>
        <v>0</v>
      </c>
      <c r="AE164">
        <f>IF(ROUND(A164*10,3)='Input data'!$B$14*10,P164,0)</f>
        <v>0</v>
      </c>
      <c r="AF164">
        <f>IF('Input data'!$B$26="C",IF((3.14159265*1860/4)*((0.001*'Input data'!$B$20)-(2*'Input data'!$B$28*A164))^2*((0.33333*0.001*'Input data'!$B$20)-(2*'Input data'!$B$28*A164))&lt;0,(3.14159265*1860/4)*((0.001*'Input data'!$B$20)-(2*'Input data'!$B$28*A164))^2*((0.33333*0.001*'Input data'!$B$20)-(2*'Input data'!$B$28*A164)),(3.14159265*1860/4)*((0.001*'Input data'!$B$20)-(2*'Input data'!$B$28*A164))^2*((0.33333*0.001*'Input data'!$B$20)-(2*'Input data'!$B$28*A164))),'Input data'!$B$21)</f>
        <v>0.40680208090393727</v>
      </c>
      <c r="AG164">
        <f t="shared" si="33"/>
        <v>0</v>
      </c>
      <c r="AH164">
        <f t="shared" si="34"/>
        <v>0</v>
      </c>
      <c r="AI164">
        <f t="shared" si="39"/>
        <v>0</v>
      </c>
      <c r="AJ164">
        <f t="shared" si="35"/>
        <v>3000</v>
      </c>
      <c r="AK164">
        <f>IF('Input data'!$B$26="S",'Input data'!$B$22,3.1415*(('Input data'!$B$20*0.0005)-('Input data'!$B$28*A164))^2)</f>
        <v>7.8539816250000026E-3</v>
      </c>
    </row>
    <row r="165" spans="1:37" x14ac:dyDescent="0.2">
      <c r="A165" s="9">
        <f>A164+'Input data'!$B$24</f>
        <v>15.79999999999996</v>
      </c>
      <c r="B165">
        <f>B164+(J164*'Input data'!$B$24)</f>
        <v>5.5396390696526785</v>
      </c>
      <c r="C165">
        <f>C164+(K164*'Input data'!$B$24)</f>
        <v>0</v>
      </c>
      <c r="D165">
        <f>D164+(L164*'Input data'!$B$24)</f>
        <v>-40.094795142301507</v>
      </c>
      <c r="E165">
        <f>IF('Input data'!$B$13=2,'Input data'!$B$25*((0.1036*LN(ABS(P164+1)))+0.8731),IF('Input data'!$B$13=3,'Input data'!$B$25*((0.139*LN(ABS(P164+1)))+0.7503),'Input data'!$B$25))</f>
        <v>5.6301351032067828</v>
      </c>
      <c r="F165">
        <f>E165*COS(RADIANS('Input data'!$B$10))</f>
        <v>5.6301351032067828</v>
      </c>
      <c r="G165">
        <f>E165*SIN(RADIANS('Input data'!$B$10))</f>
        <v>0</v>
      </c>
      <c r="H165">
        <f>1.22*EXP(-0.0001065*(P164+'Input data'!$B$12))</f>
        <v>1.233325864824522</v>
      </c>
      <c r="I165">
        <f t="shared" si="29"/>
        <v>40.094897269293675</v>
      </c>
      <c r="J165">
        <f>-0.5*H165*I165*AK165*'Input data'!$B$19*(B165-F165)/AF165</f>
        <v>2.1779348782511757E-2</v>
      </c>
      <c r="K165">
        <f>-0.5*H165*I165*AK165*'Input data'!$B$19*(C165-G165)/AF165</f>
        <v>0</v>
      </c>
      <c r="L165">
        <f>(-0.5*H165*AK165*I165*'Input data'!$B$19*D165/AF165)-'Input data'!$B$23</f>
        <v>-0.15553257615467686</v>
      </c>
      <c r="M165">
        <f>IF(AF165&gt;0,IF(P164&lt;=Param_1,M164,M164+(B166*'Input data'!$B$24)),M164)</f>
        <v>94.47854469234332</v>
      </c>
      <c r="N165">
        <f>IF(AF165&gt;0,IF(P164&lt;=Param_1,N164,N164+(C166*'Input data'!$B$24)),N164)</f>
        <v>0</v>
      </c>
      <c r="O165">
        <f t="shared" si="28"/>
        <v>0</v>
      </c>
      <c r="P165">
        <f>IF(P164&lt;=-100000,0,IF(AF165&gt;0,IF(P164&lt;Param_1,P164,P164+(D166*'Input data'!$B$24)),P164))</f>
        <v>-102.005790336941</v>
      </c>
      <c r="Q165">
        <f t="shared" si="30"/>
        <v>94.47854469234332</v>
      </c>
      <c r="T165">
        <f t="shared" si="31"/>
        <v>0</v>
      </c>
      <c r="U165">
        <f t="shared" si="32"/>
        <v>0</v>
      </c>
      <c r="V165" s="74">
        <f>IF(X165=0,'Input data'!$Q$22,Q165)</f>
        <v>80.034601194491032</v>
      </c>
      <c r="W165" s="74">
        <f>IF(U165=0,'Input data'!$Q$23,U165)</f>
        <v>0</v>
      </c>
      <c r="X165" s="74">
        <f t="shared" si="38"/>
        <v>0</v>
      </c>
      <c r="Y165">
        <f>IF(P164&lt;Param_1,Y164,A166*'Input data'!$B$25*SIN(RADIANS('Input data'!$B$10)))</f>
        <v>0</v>
      </c>
      <c r="Z165">
        <f>IF(P164&lt;Param_1,Z164,A166*'Input data'!$B$25*COS(RADIANS('Input data'!$B$10)))</f>
        <v>62.083333333333186</v>
      </c>
      <c r="AA165">
        <f t="shared" si="36"/>
        <v>14.899999999999963</v>
      </c>
      <c r="AB165">
        <f t="shared" si="37"/>
        <v>5.1999999999999975</v>
      </c>
      <c r="AC165">
        <f>IF(ROUND(A165*10,3)='Input data'!$B$14*10,M165,0)</f>
        <v>0</v>
      </c>
      <c r="AD165">
        <f>IF(ROUND(A165*10,3)='Input data'!$B$14*10,N165,0)</f>
        <v>0</v>
      </c>
      <c r="AE165">
        <f>IF(ROUND(A165*10,3)='Input data'!$B$14*10,P165,0)</f>
        <v>0</v>
      </c>
      <c r="AF165">
        <f>IF('Input data'!$B$26="C",IF((3.14159265*1860/4)*((0.001*'Input data'!$B$20)-(2*'Input data'!$B$28*A165))^2*((0.33333*0.001*'Input data'!$B$20)-(2*'Input data'!$B$28*A165))&lt;0,(3.14159265*1860/4)*((0.001*'Input data'!$B$20)-(2*'Input data'!$B$28*A165))^2*((0.33333*0.001*'Input data'!$B$20)-(2*'Input data'!$B$28*A165)),(3.14159265*1860/4)*((0.001*'Input data'!$B$20)-(2*'Input data'!$B$28*A165))^2*((0.33333*0.001*'Input data'!$B$20)-(2*'Input data'!$B$28*A165))),'Input data'!$B$21)</f>
        <v>0.40680208090393727</v>
      </c>
      <c r="AG165">
        <f t="shared" si="33"/>
        <v>0</v>
      </c>
      <c r="AH165">
        <f t="shared" si="34"/>
        <v>0</v>
      </c>
      <c r="AI165">
        <f t="shared" si="39"/>
        <v>0</v>
      </c>
      <c r="AJ165">
        <f t="shared" si="35"/>
        <v>3000</v>
      </c>
      <c r="AK165">
        <f>IF('Input data'!$B$26="S",'Input data'!$B$22,3.1415*(('Input data'!$B$20*0.0005)-('Input data'!$B$28*A165))^2)</f>
        <v>7.8539816250000026E-3</v>
      </c>
    </row>
    <row r="166" spans="1:37" x14ac:dyDescent="0.2">
      <c r="A166" s="9">
        <f>A165+'Input data'!$B$24</f>
        <v>15.899999999999959</v>
      </c>
      <c r="B166">
        <f>B165+(J165*'Input data'!$B$24)</f>
        <v>5.5418170045309294</v>
      </c>
      <c r="C166">
        <f>C165+(K165*'Input data'!$B$24)</f>
        <v>0</v>
      </c>
      <c r="D166">
        <f>D165+(L165*'Input data'!$B$24)</f>
        <v>-40.110348399916973</v>
      </c>
      <c r="E166">
        <f>IF('Input data'!$B$13=2,'Input data'!$B$25*((0.1036*LN(ABS(P165+1)))+0.8731),IF('Input data'!$B$13=3,'Input data'!$B$25*((0.139*LN(ABS(P165+1)))+0.7503),'Input data'!$B$25))</f>
        <v>5.6301351032067828</v>
      </c>
      <c r="F166">
        <f>E166*COS(RADIANS('Input data'!$B$10))</f>
        <v>5.6301351032067828</v>
      </c>
      <c r="G166">
        <f>E166*SIN(RADIANS('Input data'!$B$10))</f>
        <v>0</v>
      </c>
      <c r="H166">
        <f>1.22*EXP(-0.0001065*(P165+'Input data'!$B$12))</f>
        <v>1.233325864824522</v>
      </c>
      <c r="I166">
        <f t="shared" si="29"/>
        <v>40.110445632643824</v>
      </c>
      <c r="J166">
        <f>-0.5*H166*I166*AK166*'Input data'!$B$19*(B166-F166)/AF166</f>
        <v>2.1263435707991041E-2</v>
      </c>
      <c r="K166">
        <f>-0.5*H166*I166*AK166*'Input data'!$B$19*(C166-G166)/AF166</f>
        <v>0</v>
      </c>
      <c r="L166">
        <f>(-0.5*H166*AK166*I166*'Input data'!$B$19*D166/AF166)-'Input data'!$B$23</f>
        <v>-0.14804602098574549</v>
      </c>
      <c r="M166">
        <f>IF(AF166&gt;0,IF(P165&lt;=Param_1,M165,M165+(B167*'Input data'!$B$24)),M165)</f>
        <v>94.47854469234332</v>
      </c>
      <c r="N166">
        <f>IF(AF166&gt;0,IF(P165&lt;=Param_1,N165,N165+(C167*'Input data'!$B$24)),N165)</f>
        <v>0</v>
      </c>
      <c r="O166">
        <f t="shared" si="28"/>
        <v>0</v>
      </c>
      <c r="P166">
        <f>IF(P165&lt;=-100000,0,IF(AF166&gt;0,IF(P165&lt;Param_1,P165,P165+(D167*'Input data'!$B$24)),P165))</f>
        <v>-102.005790336941</v>
      </c>
      <c r="Q166">
        <f t="shared" si="30"/>
        <v>94.47854469234332</v>
      </c>
      <c r="T166">
        <f t="shared" si="31"/>
        <v>0</v>
      </c>
      <c r="U166">
        <f t="shared" si="32"/>
        <v>0</v>
      </c>
      <c r="V166" s="74">
        <f>IF(X166=0,'Input data'!$Q$22,Q166)</f>
        <v>80.034601194491032</v>
      </c>
      <c r="W166" s="74">
        <f>IF(U166=0,'Input data'!$Q$23,U166)</f>
        <v>0</v>
      </c>
      <c r="X166" s="74">
        <f t="shared" si="38"/>
        <v>0</v>
      </c>
      <c r="Y166">
        <f>IF(P165&lt;Param_1,Y165,A167*'Input data'!$B$25*SIN(RADIANS('Input data'!$B$10)))</f>
        <v>0</v>
      </c>
      <c r="Z166">
        <f>IF(P165&lt;Param_1,Z165,A167*'Input data'!$B$25*COS(RADIANS('Input data'!$B$10)))</f>
        <v>62.083333333333186</v>
      </c>
      <c r="AA166">
        <f t="shared" si="36"/>
        <v>14.899999999999963</v>
      </c>
      <c r="AB166">
        <f t="shared" si="37"/>
        <v>5.1999999999999975</v>
      </c>
      <c r="AC166">
        <f>IF(ROUND(A166*10,3)='Input data'!$B$14*10,M166,0)</f>
        <v>0</v>
      </c>
      <c r="AD166">
        <f>IF(ROUND(A166*10,3)='Input data'!$B$14*10,N166,0)</f>
        <v>0</v>
      </c>
      <c r="AE166">
        <f>IF(ROUND(A166*10,3)='Input data'!$B$14*10,P166,0)</f>
        <v>0</v>
      </c>
      <c r="AF166">
        <f>IF('Input data'!$B$26="C",IF((3.14159265*1860/4)*((0.001*'Input data'!$B$20)-(2*'Input data'!$B$28*A166))^2*((0.33333*0.001*'Input data'!$B$20)-(2*'Input data'!$B$28*A166))&lt;0,(3.14159265*1860/4)*((0.001*'Input data'!$B$20)-(2*'Input data'!$B$28*A166))^2*((0.33333*0.001*'Input data'!$B$20)-(2*'Input data'!$B$28*A166)),(3.14159265*1860/4)*((0.001*'Input data'!$B$20)-(2*'Input data'!$B$28*A166))^2*((0.33333*0.001*'Input data'!$B$20)-(2*'Input data'!$B$28*A166))),'Input data'!$B$21)</f>
        <v>0.40680208090393727</v>
      </c>
      <c r="AG166">
        <f t="shared" si="33"/>
        <v>0</v>
      </c>
      <c r="AH166">
        <f t="shared" si="34"/>
        <v>0</v>
      </c>
      <c r="AI166">
        <f t="shared" si="39"/>
        <v>0</v>
      </c>
      <c r="AJ166">
        <f t="shared" si="35"/>
        <v>3000</v>
      </c>
      <c r="AK166">
        <f>IF('Input data'!$B$26="S",'Input data'!$B$22,3.1415*(('Input data'!$B$20*0.0005)-('Input data'!$B$28*A166))^2)</f>
        <v>7.8539816250000026E-3</v>
      </c>
    </row>
    <row r="167" spans="1:37" x14ac:dyDescent="0.2">
      <c r="A167" s="9">
        <f>A166+'Input data'!$B$24</f>
        <v>15.999999999999959</v>
      </c>
      <c r="B167">
        <f>B166+(J166*'Input data'!$B$24)</f>
        <v>5.5439433481017284</v>
      </c>
      <c r="C167">
        <f>C166+(K166*'Input data'!$B$24)</f>
        <v>0</v>
      </c>
      <c r="D167">
        <f>D166+(L166*'Input data'!$B$24)</f>
        <v>-40.125153002015544</v>
      </c>
      <c r="E167">
        <f>IF('Input data'!$B$13=2,'Input data'!$B$25*((0.1036*LN(ABS(P166+1)))+0.8731),IF('Input data'!$B$13=3,'Input data'!$B$25*((0.139*LN(ABS(P166+1)))+0.7503),'Input data'!$B$25))</f>
        <v>5.6301351032067828</v>
      </c>
      <c r="F167">
        <f>E167*COS(RADIANS('Input data'!$B$10))</f>
        <v>5.6301351032067828</v>
      </c>
      <c r="G167">
        <f>E167*SIN(RADIANS('Input data'!$B$10))</f>
        <v>0</v>
      </c>
      <c r="H167">
        <f>1.22*EXP(-0.0001065*(P166+'Input data'!$B$12))</f>
        <v>1.233325864824522</v>
      </c>
      <c r="I167">
        <f t="shared" si="29"/>
        <v>40.12524557499686</v>
      </c>
      <c r="J167">
        <f>-0.5*H167*I167*AK167*'Input data'!$B$19*(B167-F167)/AF167</f>
        <v>2.0759154828247164E-2</v>
      </c>
      <c r="K167">
        <f>-0.5*H167*I167*AK167*'Input data'!$B$19*(C167-G167)/AF167</f>
        <v>0</v>
      </c>
      <c r="L167">
        <f>(-0.5*H167*AK167*I167*'Input data'!$B$19*D167/AF167)-'Input data'!$B$23</f>
        <v>-0.14091713429326447</v>
      </c>
      <c r="M167">
        <f>IF(AF167&gt;0,IF(P166&lt;=Param_1,M166,M166+(B168*'Input data'!$B$24)),M166)</f>
        <v>94.47854469234332</v>
      </c>
      <c r="N167">
        <f>IF(AF167&gt;0,IF(P166&lt;=Param_1,N166,N166+(C168*'Input data'!$B$24)),N166)</f>
        <v>0</v>
      </c>
      <c r="O167">
        <f t="shared" si="28"/>
        <v>0</v>
      </c>
      <c r="P167">
        <f>IF(P166&lt;=-100000,0,IF(AF167&gt;0,IF(P166&lt;Param_1,P166,P166+(D168*'Input data'!$B$24)),P166))</f>
        <v>-102.005790336941</v>
      </c>
      <c r="Q167">
        <f t="shared" si="30"/>
        <v>94.47854469234332</v>
      </c>
      <c r="T167">
        <f t="shared" si="31"/>
        <v>0</v>
      </c>
      <c r="U167">
        <f t="shared" si="32"/>
        <v>0</v>
      </c>
      <c r="V167" s="74">
        <f>IF(X167=0,'Input data'!$Q$22,Q167)</f>
        <v>80.034601194491032</v>
      </c>
      <c r="W167" s="74">
        <f>IF(U167=0,'Input data'!$Q$23,U167)</f>
        <v>0</v>
      </c>
      <c r="X167" s="74">
        <f t="shared" si="38"/>
        <v>0</v>
      </c>
      <c r="Y167">
        <f>IF(P166&lt;Param_1,Y166,A168*'Input data'!$B$25*SIN(RADIANS('Input data'!$B$10)))</f>
        <v>0</v>
      </c>
      <c r="Z167">
        <f>IF(P166&lt;Param_1,Z166,A168*'Input data'!$B$25*COS(RADIANS('Input data'!$B$10)))</f>
        <v>62.083333333333186</v>
      </c>
      <c r="AA167">
        <f t="shared" si="36"/>
        <v>14.899999999999963</v>
      </c>
      <c r="AB167">
        <f t="shared" si="37"/>
        <v>5.1999999999999975</v>
      </c>
      <c r="AC167">
        <f>IF(ROUND(A167*10,3)='Input data'!$B$14*10,M167,0)</f>
        <v>0</v>
      </c>
      <c r="AD167">
        <f>IF(ROUND(A167*10,3)='Input data'!$B$14*10,N167,0)</f>
        <v>0</v>
      </c>
      <c r="AE167">
        <f>IF(ROUND(A167*10,3)='Input data'!$B$14*10,P167,0)</f>
        <v>0</v>
      </c>
      <c r="AF167">
        <f>IF('Input data'!$B$26="C",IF((3.14159265*1860/4)*((0.001*'Input data'!$B$20)-(2*'Input data'!$B$28*A167))^2*((0.33333*0.001*'Input data'!$B$20)-(2*'Input data'!$B$28*A167))&lt;0,(3.14159265*1860/4)*((0.001*'Input data'!$B$20)-(2*'Input data'!$B$28*A167))^2*((0.33333*0.001*'Input data'!$B$20)-(2*'Input data'!$B$28*A167)),(3.14159265*1860/4)*((0.001*'Input data'!$B$20)-(2*'Input data'!$B$28*A167))^2*((0.33333*0.001*'Input data'!$B$20)-(2*'Input data'!$B$28*A167))),'Input data'!$B$21)</f>
        <v>0.40680208090393727</v>
      </c>
      <c r="AG167">
        <f t="shared" si="33"/>
        <v>0</v>
      </c>
      <c r="AH167">
        <f t="shared" si="34"/>
        <v>0</v>
      </c>
      <c r="AI167">
        <f t="shared" si="39"/>
        <v>0</v>
      </c>
      <c r="AJ167">
        <f t="shared" si="35"/>
        <v>3000</v>
      </c>
      <c r="AK167">
        <f>IF('Input data'!$B$26="S",'Input data'!$B$22,3.1415*(('Input data'!$B$20*0.0005)-('Input data'!$B$28*A167))^2)</f>
        <v>7.8539816250000026E-3</v>
      </c>
    </row>
    <row r="168" spans="1:37" x14ac:dyDescent="0.2">
      <c r="A168" s="9">
        <f>A167+'Input data'!$B$24</f>
        <v>16.099999999999959</v>
      </c>
      <c r="B168">
        <f>B167+(J167*'Input data'!$B$24)</f>
        <v>5.5460192635845535</v>
      </c>
      <c r="C168">
        <f>C167+(K167*'Input data'!$B$24)</f>
        <v>0</v>
      </c>
      <c r="D168">
        <f>D167+(L167*'Input data'!$B$24)</f>
        <v>-40.139244715444867</v>
      </c>
      <c r="E168">
        <f>IF('Input data'!$B$13=2,'Input data'!$B$25*((0.1036*LN(ABS(P167+1)))+0.8731),IF('Input data'!$B$13=3,'Input data'!$B$25*((0.139*LN(ABS(P167+1)))+0.7503),'Input data'!$B$25))</f>
        <v>5.6301351032067828</v>
      </c>
      <c r="F168">
        <f>E168*COS(RADIANS('Input data'!$B$10))</f>
        <v>5.6301351032067828</v>
      </c>
      <c r="G168">
        <f>E168*SIN(RADIANS('Input data'!$B$10))</f>
        <v>0</v>
      </c>
      <c r="H168">
        <f>1.22*EXP(-0.0001065*(P167+'Input data'!$B$12))</f>
        <v>1.233325864824522</v>
      </c>
      <c r="I168">
        <f t="shared" si="29"/>
        <v>40.139332851965094</v>
      </c>
      <c r="J168">
        <f>-0.5*H168*I168*AK168*'Input data'!$B$19*(B168-F168)/AF168</f>
        <v>2.0266286344615352E-2</v>
      </c>
      <c r="K168">
        <f>-0.5*H168*I168*AK168*'Input data'!$B$19*(C168-G168)/AF168</f>
        <v>0</v>
      </c>
      <c r="L168">
        <f>(-0.5*H168*AK168*I168*'Input data'!$B$19*D168/AF168)-'Input data'!$B$23</f>
        <v>-0.13412908302209559</v>
      </c>
      <c r="M168">
        <f>IF(AF168&gt;0,IF(P167&lt;=Param_1,M167,M167+(B169*'Input data'!$B$24)),M167)</f>
        <v>94.47854469234332</v>
      </c>
      <c r="N168">
        <f>IF(AF168&gt;0,IF(P167&lt;=Param_1,N167,N167+(C169*'Input data'!$B$24)),N167)</f>
        <v>0</v>
      </c>
      <c r="O168">
        <f t="shared" si="28"/>
        <v>0</v>
      </c>
      <c r="P168">
        <f>IF(P167&lt;=-100000,0,IF(AF168&gt;0,IF(P167&lt;Param_1,P167,P167+(D169*'Input data'!$B$24)),P167))</f>
        <v>-102.005790336941</v>
      </c>
      <c r="Q168">
        <f t="shared" si="30"/>
        <v>94.47854469234332</v>
      </c>
      <c r="T168">
        <f t="shared" si="31"/>
        <v>0</v>
      </c>
      <c r="U168">
        <f t="shared" si="32"/>
        <v>0</v>
      </c>
      <c r="V168" s="74">
        <f>IF(X168=0,'Input data'!$Q$22,Q168)</f>
        <v>80.034601194491032</v>
      </c>
      <c r="W168" s="74">
        <f>IF(U168=0,'Input data'!$Q$23,U168)</f>
        <v>0</v>
      </c>
      <c r="X168" s="74">
        <f t="shared" si="38"/>
        <v>0</v>
      </c>
      <c r="Y168">
        <f>IF(P167&lt;Param_1,Y167,A169*'Input data'!$B$25*SIN(RADIANS('Input data'!$B$10)))</f>
        <v>0</v>
      </c>
      <c r="Z168">
        <f>IF(P167&lt;Param_1,Z167,A169*'Input data'!$B$25*COS(RADIANS('Input data'!$B$10)))</f>
        <v>62.083333333333186</v>
      </c>
      <c r="AA168">
        <f t="shared" si="36"/>
        <v>14.899999999999963</v>
      </c>
      <c r="AB168">
        <f t="shared" si="37"/>
        <v>5.1999999999999975</v>
      </c>
      <c r="AC168">
        <f>IF(ROUND(A168*10,3)='Input data'!$B$14*10,M168,0)</f>
        <v>0</v>
      </c>
      <c r="AD168">
        <f>IF(ROUND(A168*10,3)='Input data'!$B$14*10,N168,0)</f>
        <v>0</v>
      </c>
      <c r="AE168">
        <f>IF(ROUND(A168*10,3)='Input data'!$B$14*10,P168,0)</f>
        <v>0</v>
      </c>
      <c r="AF168">
        <f>IF('Input data'!$B$26="C",IF((3.14159265*1860/4)*((0.001*'Input data'!$B$20)-(2*'Input data'!$B$28*A168))^2*((0.33333*0.001*'Input data'!$B$20)-(2*'Input data'!$B$28*A168))&lt;0,(3.14159265*1860/4)*((0.001*'Input data'!$B$20)-(2*'Input data'!$B$28*A168))^2*((0.33333*0.001*'Input data'!$B$20)-(2*'Input data'!$B$28*A168)),(3.14159265*1860/4)*((0.001*'Input data'!$B$20)-(2*'Input data'!$B$28*A168))^2*((0.33333*0.001*'Input data'!$B$20)-(2*'Input data'!$B$28*A168))),'Input data'!$B$21)</f>
        <v>0.40680208090393727</v>
      </c>
      <c r="AG168">
        <f t="shared" si="33"/>
        <v>0</v>
      </c>
      <c r="AH168">
        <f t="shared" si="34"/>
        <v>0</v>
      </c>
      <c r="AI168">
        <f t="shared" si="39"/>
        <v>0</v>
      </c>
      <c r="AJ168">
        <f t="shared" si="35"/>
        <v>3000</v>
      </c>
      <c r="AK168">
        <f>IF('Input data'!$B$26="S",'Input data'!$B$22,3.1415*(('Input data'!$B$20*0.0005)-('Input data'!$B$28*A168))^2)</f>
        <v>7.8539816250000026E-3</v>
      </c>
    </row>
    <row r="169" spans="1:37" x14ac:dyDescent="0.2">
      <c r="A169" s="9">
        <f>A168+'Input data'!$B$24</f>
        <v>16.19999999999996</v>
      </c>
      <c r="B169">
        <f>B168+(J168*'Input data'!$B$24)</f>
        <v>5.5480458922190152</v>
      </c>
      <c r="C169">
        <f>C168+(K168*'Input data'!$B$24)</f>
        <v>0</v>
      </c>
      <c r="D169">
        <f>D168+(L168*'Input data'!$B$24)</f>
        <v>-40.152657623747075</v>
      </c>
      <c r="E169">
        <f>IF('Input data'!$B$13=2,'Input data'!$B$25*((0.1036*LN(ABS(P168+1)))+0.8731),IF('Input data'!$B$13=3,'Input data'!$B$25*((0.139*LN(ABS(P168+1)))+0.7503),'Input data'!$B$25))</f>
        <v>5.6301351032067828</v>
      </c>
      <c r="F169">
        <f>E169*COS(RADIANS('Input data'!$B$10))</f>
        <v>5.6301351032067828</v>
      </c>
      <c r="G169">
        <f>E169*SIN(RADIANS('Input data'!$B$10))</f>
        <v>0</v>
      </c>
      <c r="H169">
        <f>1.22*EXP(-0.0001065*(P168+'Input data'!$B$12))</f>
        <v>1.233325864824522</v>
      </c>
      <c r="I169">
        <f t="shared" si="29"/>
        <v>40.152741536393435</v>
      </c>
      <c r="J169">
        <f>-0.5*H169*I169*AK169*'Input data'!$B$19*(B169-F169)/AF169</f>
        <v>1.9784611424751682E-2</v>
      </c>
      <c r="K169">
        <f>-0.5*H169*I169*AK169*'Input data'!$B$19*(C169-G169)/AF169</f>
        <v>0</v>
      </c>
      <c r="L169">
        <f>(-0.5*H169*AK169*I169*'Input data'!$B$19*D169/AF169)-'Input data'!$B$23</f>
        <v>-0.12766580226594471</v>
      </c>
      <c r="M169">
        <f>IF(AF169&gt;0,IF(P168&lt;=Param_1,M168,M168+(B170*'Input data'!$B$24)),M168)</f>
        <v>94.47854469234332</v>
      </c>
      <c r="N169">
        <f>IF(AF169&gt;0,IF(P168&lt;=Param_1,N168,N168+(C170*'Input data'!$B$24)),N168)</f>
        <v>0</v>
      </c>
      <c r="O169">
        <f t="shared" si="28"/>
        <v>0</v>
      </c>
      <c r="P169">
        <f>IF(P168&lt;=-100000,0,IF(AF169&gt;0,IF(P168&lt;Param_1,P168,P168+(D170*'Input data'!$B$24)),P168))</f>
        <v>-102.005790336941</v>
      </c>
      <c r="Q169">
        <f t="shared" si="30"/>
        <v>94.47854469234332</v>
      </c>
      <c r="T169">
        <f t="shared" si="31"/>
        <v>0</v>
      </c>
      <c r="U169">
        <f t="shared" si="32"/>
        <v>0</v>
      </c>
      <c r="V169" s="74">
        <f>IF(X169=0,'Input data'!$Q$22,Q169)</f>
        <v>80.034601194491032</v>
      </c>
      <c r="W169" s="74">
        <f>IF(U169=0,'Input data'!$Q$23,U169)</f>
        <v>0</v>
      </c>
      <c r="X169" s="74">
        <f t="shared" si="38"/>
        <v>0</v>
      </c>
      <c r="Y169">
        <f>IF(P168&lt;Param_1,Y168,A170*'Input data'!$B$25*SIN(RADIANS('Input data'!$B$10)))</f>
        <v>0</v>
      </c>
      <c r="Z169">
        <f>IF(P168&lt;Param_1,Z168,A170*'Input data'!$B$25*COS(RADIANS('Input data'!$B$10)))</f>
        <v>62.083333333333186</v>
      </c>
      <c r="AA169">
        <f t="shared" si="36"/>
        <v>14.899999999999963</v>
      </c>
      <c r="AB169">
        <f t="shared" si="37"/>
        <v>5.1999999999999975</v>
      </c>
      <c r="AC169">
        <f>IF(ROUND(A169*10,3)='Input data'!$B$14*10,M169,0)</f>
        <v>0</v>
      </c>
      <c r="AD169">
        <f>IF(ROUND(A169*10,3)='Input data'!$B$14*10,N169,0)</f>
        <v>0</v>
      </c>
      <c r="AE169">
        <f>IF(ROUND(A169*10,3)='Input data'!$B$14*10,P169,0)</f>
        <v>0</v>
      </c>
      <c r="AF169">
        <f>IF('Input data'!$B$26="C",IF((3.14159265*1860/4)*((0.001*'Input data'!$B$20)-(2*'Input data'!$B$28*A169))^2*((0.33333*0.001*'Input data'!$B$20)-(2*'Input data'!$B$28*A169))&lt;0,(3.14159265*1860/4)*((0.001*'Input data'!$B$20)-(2*'Input data'!$B$28*A169))^2*((0.33333*0.001*'Input data'!$B$20)-(2*'Input data'!$B$28*A169)),(3.14159265*1860/4)*((0.001*'Input data'!$B$20)-(2*'Input data'!$B$28*A169))^2*((0.33333*0.001*'Input data'!$B$20)-(2*'Input data'!$B$28*A169))),'Input data'!$B$21)</f>
        <v>0.40680208090393727</v>
      </c>
      <c r="AG169">
        <f t="shared" si="33"/>
        <v>0</v>
      </c>
      <c r="AH169">
        <f t="shared" si="34"/>
        <v>0</v>
      </c>
      <c r="AI169">
        <f t="shared" si="39"/>
        <v>0</v>
      </c>
      <c r="AJ169">
        <f t="shared" si="35"/>
        <v>3000</v>
      </c>
      <c r="AK169">
        <f>IF('Input data'!$B$26="S",'Input data'!$B$22,3.1415*(('Input data'!$B$20*0.0005)-('Input data'!$B$28*A169))^2)</f>
        <v>7.8539816250000026E-3</v>
      </c>
    </row>
    <row r="170" spans="1:37" x14ac:dyDescent="0.2">
      <c r="A170" s="9">
        <f>A169+'Input data'!$B$24</f>
        <v>16.299999999999962</v>
      </c>
      <c r="B170">
        <f>B169+(J169*'Input data'!$B$24)</f>
        <v>5.5500243533614908</v>
      </c>
      <c r="C170">
        <f>C169+(K169*'Input data'!$B$24)</f>
        <v>0</v>
      </c>
      <c r="D170">
        <f>D169+(L169*'Input data'!$B$24)</f>
        <v>-40.165424203973672</v>
      </c>
      <c r="E170">
        <f>IF('Input data'!$B$13=2,'Input data'!$B$25*((0.1036*LN(ABS(P169+1)))+0.8731),IF('Input data'!$B$13=3,'Input data'!$B$25*((0.139*LN(ABS(P169+1)))+0.7503),'Input data'!$B$25))</f>
        <v>5.6301351032067828</v>
      </c>
      <c r="F170">
        <f>E170*COS(RADIANS('Input data'!$B$10))</f>
        <v>5.6301351032067828</v>
      </c>
      <c r="G170">
        <f>E170*SIN(RADIANS('Input data'!$B$10))</f>
        <v>0</v>
      </c>
      <c r="H170">
        <f>1.22*EXP(-0.0001065*(P169+'Input data'!$B$12))</f>
        <v>1.233325864824522</v>
      </c>
      <c r="I170">
        <f t="shared" si="29"/>
        <v>40.165504095148549</v>
      </c>
      <c r="J170">
        <f>-0.5*H170*I170*AK170*'Input data'!$B$19*(B170-F170)/AF170</f>
        <v>1.9313912480093932E-2</v>
      </c>
      <c r="K170">
        <f>-0.5*H170*I170*AK170*'Input data'!$B$19*(C170-G170)/AF170</f>
        <v>0</v>
      </c>
      <c r="L170">
        <f>(-0.5*H170*AK170*I170*'Input data'!$B$19*D170/AF170)-'Input data'!$B$23</f>
        <v>-0.12151196250806429</v>
      </c>
      <c r="M170">
        <f>IF(AF170&gt;0,IF(P169&lt;=Param_1,M169,M169+(B171*'Input data'!$B$24)),M169)</f>
        <v>94.47854469234332</v>
      </c>
      <c r="N170">
        <f>IF(AF170&gt;0,IF(P169&lt;=Param_1,N169,N169+(C171*'Input data'!$B$24)),N169)</f>
        <v>0</v>
      </c>
      <c r="O170">
        <f t="shared" si="28"/>
        <v>0</v>
      </c>
      <c r="P170">
        <f>IF(P169&lt;=-100000,0,IF(AF170&gt;0,IF(P169&lt;Param_1,P169,P169+(D171*'Input data'!$B$24)),P169))</f>
        <v>-102.005790336941</v>
      </c>
      <c r="Q170">
        <f t="shared" si="30"/>
        <v>94.47854469234332</v>
      </c>
      <c r="T170">
        <f t="shared" si="31"/>
        <v>0</v>
      </c>
      <c r="U170">
        <f t="shared" si="32"/>
        <v>0</v>
      </c>
      <c r="V170" s="74">
        <f>IF(X170=0,'Input data'!$Q$22,Q170)</f>
        <v>80.034601194491032</v>
      </c>
      <c r="W170" s="74">
        <f>IF(U170=0,'Input data'!$Q$23,U170)</f>
        <v>0</v>
      </c>
      <c r="X170" s="74">
        <f t="shared" si="38"/>
        <v>0</v>
      </c>
      <c r="Y170">
        <f>IF(P169&lt;Param_1,Y169,A171*'Input data'!$B$25*SIN(RADIANS('Input data'!$B$10)))</f>
        <v>0</v>
      </c>
      <c r="Z170">
        <f>IF(P169&lt;Param_1,Z169,A171*'Input data'!$B$25*COS(RADIANS('Input data'!$B$10)))</f>
        <v>62.083333333333186</v>
      </c>
      <c r="AA170">
        <f t="shared" si="36"/>
        <v>14.899999999999963</v>
      </c>
      <c r="AB170">
        <f t="shared" si="37"/>
        <v>5.1999999999999975</v>
      </c>
      <c r="AC170">
        <f>IF(ROUND(A170*10,3)='Input data'!$B$14*10,M170,0)</f>
        <v>0</v>
      </c>
      <c r="AD170">
        <f>IF(ROUND(A170*10,3)='Input data'!$B$14*10,N170,0)</f>
        <v>0</v>
      </c>
      <c r="AE170">
        <f>IF(ROUND(A170*10,3)='Input data'!$B$14*10,P170,0)</f>
        <v>0</v>
      </c>
      <c r="AF170">
        <f>IF('Input data'!$B$26="C",IF((3.14159265*1860/4)*((0.001*'Input data'!$B$20)-(2*'Input data'!$B$28*A170))^2*((0.33333*0.001*'Input data'!$B$20)-(2*'Input data'!$B$28*A170))&lt;0,(3.14159265*1860/4)*((0.001*'Input data'!$B$20)-(2*'Input data'!$B$28*A170))^2*((0.33333*0.001*'Input data'!$B$20)-(2*'Input data'!$B$28*A170)),(3.14159265*1860/4)*((0.001*'Input data'!$B$20)-(2*'Input data'!$B$28*A170))^2*((0.33333*0.001*'Input data'!$B$20)-(2*'Input data'!$B$28*A170))),'Input data'!$B$21)</f>
        <v>0.40680208090393727</v>
      </c>
      <c r="AG170">
        <f t="shared" si="33"/>
        <v>0</v>
      </c>
      <c r="AH170">
        <f t="shared" si="34"/>
        <v>0</v>
      </c>
      <c r="AI170">
        <f t="shared" si="39"/>
        <v>0</v>
      </c>
      <c r="AJ170">
        <f t="shared" si="35"/>
        <v>3000</v>
      </c>
      <c r="AK170">
        <f>IF('Input data'!$B$26="S",'Input data'!$B$22,3.1415*(('Input data'!$B$20*0.0005)-('Input data'!$B$28*A170))^2)</f>
        <v>7.8539816250000026E-3</v>
      </c>
    </row>
    <row r="171" spans="1:37" x14ac:dyDescent="0.2">
      <c r="A171" s="9">
        <f>A170+'Input data'!$B$24</f>
        <v>16.399999999999963</v>
      </c>
      <c r="B171">
        <f>B170+(J170*'Input data'!$B$24)</f>
        <v>5.5519557446094998</v>
      </c>
      <c r="C171">
        <f>C170+(K170*'Input data'!$B$24)</f>
        <v>0</v>
      </c>
      <c r="D171">
        <f>D170+(L170*'Input data'!$B$24)</f>
        <v>-40.177575400224477</v>
      </c>
      <c r="E171">
        <f>IF('Input data'!$B$13=2,'Input data'!$B$25*((0.1036*LN(ABS(P170+1)))+0.8731),IF('Input data'!$B$13=3,'Input data'!$B$25*((0.139*LN(ABS(P170+1)))+0.7503),'Input data'!$B$25))</f>
        <v>5.6301351032067828</v>
      </c>
      <c r="F171">
        <f>E171*COS(RADIANS('Input data'!$B$10))</f>
        <v>5.6301351032067828</v>
      </c>
      <c r="G171">
        <f>E171*SIN(RADIANS('Input data'!$B$10))</f>
        <v>0</v>
      </c>
      <c r="H171">
        <f>1.22*EXP(-0.0001065*(P170+'Input data'!$B$12))</f>
        <v>1.233325864824522</v>
      </c>
      <c r="I171">
        <f t="shared" si="29"/>
        <v>40.177651462633222</v>
      </c>
      <c r="J171">
        <f>-0.5*H171*I171*AK171*'Input data'!$B$19*(B171-F171)/AF171</f>
        <v>1.885397341638945E-2</v>
      </c>
      <c r="K171">
        <f>-0.5*H171*I171*AK171*'Input data'!$B$19*(C171-G171)/AF171</f>
        <v>0</v>
      </c>
      <c r="L171">
        <f>(-0.5*H171*AK171*I171*'Input data'!$B$19*D171/AF171)-'Input data'!$B$23</f>
        <v>-0.11565293803598387</v>
      </c>
      <c r="M171">
        <f>IF(AF171&gt;0,IF(P170&lt;=Param_1,M170,M170+(B172*'Input data'!$B$24)),M170)</f>
        <v>94.47854469234332</v>
      </c>
      <c r="N171">
        <f>IF(AF171&gt;0,IF(P170&lt;=Param_1,N170,N170+(C172*'Input data'!$B$24)),N170)</f>
        <v>0</v>
      </c>
      <c r="O171">
        <f t="shared" si="28"/>
        <v>0</v>
      </c>
      <c r="P171">
        <f>IF(P170&lt;=-100000,0,IF(AF171&gt;0,IF(P170&lt;Param_1,P170,P170+(D172*'Input data'!$B$24)),P170))</f>
        <v>-102.005790336941</v>
      </c>
      <c r="Q171">
        <f t="shared" si="30"/>
        <v>94.47854469234332</v>
      </c>
      <c r="T171">
        <f t="shared" si="31"/>
        <v>0</v>
      </c>
      <c r="U171">
        <f t="shared" si="32"/>
        <v>0</v>
      </c>
      <c r="V171" s="74">
        <f>IF(X171=0,'Input data'!$Q$22,Q171)</f>
        <v>80.034601194491032</v>
      </c>
      <c r="W171" s="74">
        <f>IF(U171=0,'Input data'!$Q$23,U171)</f>
        <v>0</v>
      </c>
      <c r="X171" s="74">
        <f t="shared" si="38"/>
        <v>0</v>
      </c>
      <c r="Y171">
        <f>IF(P170&lt;Param_1,Y170,A172*'Input data'!$B$25*SIN(RADIANS('Input data'!$B$10)))</f>
        <v>0</v>
      </c>
      <c r="Z171">
        <f>IF(P170&lt;Param_1,Z170,A172*'Input data'!$B$25*COS(RADIANS('Input data'!$B$10)))</f>
        <v>62.083333333333186</v>
      </c>
      <c r="AA171">
        <f t="shared" si="36"/>
        <v>14.899999999999963</v>
      </c>
      <c r="AB171">
        <f t="shared" si="37"/>
        <v>5.1999999999999975</v>
      </c>
      <c r="AC171">
        <f>IF(ROUND(A171*10,3)='Input data'!$B$14*10,M171,0)</f>
        <v>0</v>
      </c>
      <c r="AD171">
        <f>IF(ROUND(A171*10,3)='Input data'!$B$14*10,N171,0)</f>
        <v>0</v>
      </c>
      <c r="AE171">
        <f>IF(ROUND(A171*10,3)='Input data'!$B$14*10,P171,0)</f>
        <v>0</v>
      </c>
      <c r="AF171">
        <f>IF('Input data'!$B$26="C",IF((3.14159265*1860/4)*((0.001*'Input data'!$B$20)-(2*'Input data'!$B$28*A171))^2*((0.33333*0.001*'Input data'!$B$20)-(2*'Input data'!$B$28*A171))&lt;0,(3.14159265*1860/4)*((0.001*'Input data'!$B$20)-(2*'Input data'!$B$28*A171))^2*((0.33333*0.001*'Input data'!$B$20)-(2*'Input data'!$B$28*A171)),(3.14159265*1860/4)*((0.001*'Input data'!$B$20)-(2*'Input data'!$B$28*A171))^2*((0.33333*0.001*'Input data'!$B$20)-(2*'Input data'!$B$28*A171))),'Input data'!$B$21)</f>
        <v>0.40680208090393727</v>
      </c>
      <c r="AG171">
        <f t="shared" si="33"/>
        <v>0</v>
      </c>
      <c r="AH171">
        <f t="shared" si="34"/>
        <v>0</v>
      </c>
      <c r="AI171">
        <f t="shared" si="39"/>
        <v>0</v>
      </c>
      <c r="AJ171">
        <f t="shared" si="35"/>
        <v>3000</v>
      </c>
      <c r="AK171">
        <f>IF('Input data'!$B$26="S",'Input data'!$B$22,3.1415*(('Input data'!$B$20*0.0005)-('Input data'!$B$28*A171))^2)</f>
        <v>7.8539816250000026E-3</v>
      </c>
    </row>
    <row r="172" spans="1:37" x14ac:dyDescent="0.2">
      <c r="A172" s="9">
        <f>A171+'Input data'!$B$24</f>
        <v>16.499999999999964</v>
      </c>
      <c r="B172">
        <f>B171+(J171*'Input data'!$B$24)</f>
        <v>5.5538411419511391</v>
      </c>
      <c r="C172">
        <f>C171+(K171*'Input data'!$B$24)</f>
        <v>0</v>
      </c>
      <c r="D172">
        <f>D171+(L171*'Input data'!$B$24)</f>
        <v>-40.189140694028076</v>
      </c>
      <c r="E172">
        <f>IF('Input data'!$B$13=2,'Input data'!$B$25*((0.1036*LN(ABS(P171+1)))+0.8731),IF('Input data'!$B$13=3,'Input data'!$B$25*((0.139*LN(ABS(P171+1)))+0.7503),'Input data'!$B$25))</f>
        <v>5.6301351032067828</v>
      </c>
      <c r="F172">
        <f>E172*COS(RADIANS('Input data'!$B$10))</f>
        <v>5.6301351032067828</v>
      </c>
      <c r="G172">
        <f>E172*SIN(RADIANS('Input data'!$B$10))</f>
        <v>0</v>
      </c>
      <c r="H172">
        <f>1.22*EXP(-0.0001065*(P171+'Input data'!$B$12))</f>
        <v>1.233325864824522</v>
      </c>
      <c r="I172">
        <f t="shared" si="29"/>
        <v>40.189213111143488</v>
      </c>
      <c r="J172">
        <f>-0.5*H172*I172*AK172*'Input data'!$B$19*(B172-F172)/AF172</f>
        <v>1.8404579859234028E-2</v>
      </c>
      <c r="K172">
        <f>-0.5*H172*I172*AK172*'Input data'!$B$19*(C172-G172)/AF172</f>
        <v>0</v>
      </c>
      <c r="L172">
        <f>(-0.5*H172*AK172*I172*'Input data'!$B$19*D172/AF172)-'Input data'!$B$23</f>
        <v>-0.11007477651101105</v>
      </c>
      <c r="M172">
        <f>IF(AF172&gt;0,IF(P171&lt;=Param_1,M171,M171+(B173*'Input data'!$B$24)),M171)</f>
        <v>94.47854469234332</v>
      </c>
      <c r="N172">
        <f>IF(AF172&gt;0,IF(P171&lt;=Param_1,N171,N171+(C173*'Input data'!$B$24)),N171)</f>
        <v>0</v>
      </c>
      <c r="O172">
        <f t="shared" si="28"/>
        <v>0</v>
      </c>
      <c r="P172">
        <f>IF(P171&lt;=-100000,0,IF(AF172&gt;0,IF(P171&lt;Param_1,P171,P171+(D173*'Input data'!$B$24)),P171))</f>
        <v>-102.005790336941</v>
      </c>
      <c r="Q172">
        <f t="shared" si="30"/>
        <v>94.47854469234332</v>
      </c>
      <c r="T172">
        <f t="shared" si="31"/>
        <v>0</v>
      </c>
      <c r="U172">
        <f t="shared" si="32"/>
        <v>0</v>
      </c>
      <c r="V172" s="74">
        <f>IF(X172=0,'Input data'!$Q$22,Q172)</f>
        <v>80.034601194491032</v>
      </c>
      <c r="W172" s="74">
        <f>IF(U172=0,'Input data'!$Q$23,U172)</f>
        <v>0</v>
      </c>
      <c r="X172" s="74">
        <f t="shared" si="38"/>
        <v>0</v>
      </c>
      <c r="Y172">
        <f>IF(P171&lt;Param_1,Y171,A173*'Input data'!$B$25*SIN(RADIANS('Input data'!$B$10)))</f>
        <v>0</v>
      </c>
      <c r="Z172">
        <f>IF(P171&lt;Param_1,Z171,A173*'Input data'!$B$25*COS(RADIANS('Input data'!$B$10)))</f>
        <v>62.083333333333186</v>
      </c>
      <c r="AA172">
        <f t="shared" si="36"/>
        <v>14.899999999999963</v>
      </c>
      <c r="AB172">
        <f t="shared" si="37"/>
        <v>5.1999999999999975</v>
      </c>
      <c r="AC172">
        <f>IF(ROUND(A172*10,3)='Input data'!$B$14*10,M172,0)</f>
        <v>0</v>
      </c>
      <c r="AD172">
        <f>IF(ROUND(A172*10,3)='Input data'!$B$14*10,N172,0)</f>
        <v>0</v>
      </c>
      <c r="AE172">
        <f>IF(ROUND(A172*10,3)='Input data'!$B$14*10,P172,0)</f>
        <v>0</v>
      </c>
      <c r="AF172">
        <f>IF('Input data'!$B$26="C",IF((3.14159265*1860/4)*((0.001*'Input data'!$B$20)-(2*'Input data'!$B$28*A172))^2*((0.33333*0.001*'Input data'!$B$20)-(2*'Input data'!$B$28*A172))&lt;0,(3.14159265*1860/4)*((0.001*'Input data'!$B$20)-(2*'Input data'!$B$28*A172))^2*((0.33333*0.001*'Input data'!$B$20)-(2*'Input data'!$B$28*A172)),(3.14159265*1860/4)*((0.001*'Input data'!$B$20)-(2*'Input data'!$B$28*A172))^2*((0.33333*0.001*'Input data'!$B$20)-(2*'Input data'!$B$28*A172))),'Input data'!$B$21)</f>
        <v>0.40680208090393727</v>
      </c>
      <c r="AG172">
        <f t="shared" si="33"/>
        <v>0</v>
      </c>
      <c r="AH172">
        <f t="shared" si="34"/>
        <v>0</v>
      </c>
      <c r="AI172">
        <f t="shared" si="39"/>
        <v>0</v>
      </c>
      <c r="AJ172">
        <f t="shared" si="35"/>
        <v>3000</v>
      </c>
      <c r="AK172">
        <f>IF('Input data'!$B$26="S",'Input data'!$B$22,3.1415*(('Input data'!$B$20*0.0005)-('Input data'!$B$28*A172))^2)</f>
        <v>7.8539816250000026E-3</v>
      </c>
    </row>
    <row r="173" spans="1:37" x14ac:dyDescent="0.2">
      <c r="A173" s="9">
        <f>A172+'Input data'!$B$24</f>
        <v>16.599999999999966</v>
      </c>
      <c r="B173">
        <f>B172+(J172*'Input data'!$B$24)</f>
        <v>5.5556815999370626</v>
      </c>
      <c r="C173">
        <f>C172+(K172*'Input data'!$B$24)</f>
        <v>0</v>
      </c>
      <c r="D173">
        <f>D172+(L172*'Input data'!$B$24)</f>
        <v>-40.200148171679174</v>
      </c>
      <c r="E173">
        <f>IF('Input data'!$B$13=2,'Input data'!$B$25*((0.1036*LN(ABS(P172+1)))+0.8731),IF('Input data'!$B$13=3,'Input data'!$B$25*((0.139*LN(ABS(P172+1)))+0.7503),'Input data'!$B$25))</f>
        <v>5.6301351032067828</v>
      </c>
      <c r="F173">
        <f>E173*COS(RADIANS('Input data'!$B$10))</f>
        <v>5.6301351032067828</v>
      </c>
      <c r="G173">
        <f>E173*SIN(RADIANS('Input data'!$B$10))</f>
        <v>0</v>
      </c>
      <c r="H173">
        <f>1.22*EXP(-0.0001065*(P172+'Input data'!$B$12))</f>
        <v>1.233325864824522</v>
      </c>
      <c r="I173">
        <f t="shared" si="29"/>
        <v>40.200217118183694</v>
      </c>
      <c r="J173">
        <f>-0.5*H173*I173*AK173*'Input data'!$B$19*(B173-F173)/AF173</f>
        <v>1.796551935644998E-2</v>
      </c>
      <c r="K173">
        <f>-0.5*H173*I173*AK173*'Input data'!$B$19*(C173-G173)/AF173</f>
        <v>0</v>
      </c>
      <c r="L173">
        <f>(-0.5*H173*AK173*I173*'Input data'!$B$19*D173/AF173)-'Input data'!$B$23</f>
        <v>-0.10476416967097357</v>
      </c>
      <c r="M173">
        <f>IF(AF173&gt;0,IF(P172&lt;=Param_1,M172,M172+(B174*'Input data'!$B$24)),M172)</f>
        <v>94.47854469234332</v>
      </c>
      <c r="N173">
        <f>IF(AF173&gt;0,IF(P172&lt;=Param_1,N172,N172+(C174*'Input data'!$B$24)),N172)</f>
        <v>0</v>
      </c>
      <c r="O173">
        <f t="shared" si="28"/>
        <v>0</v>
      </c>
      <c r="P173">
        <f>IF(P172&lt;=-100000,0,IF(AF173&gt;0,IF(P172&lt;Param_1,P172,P172+(D174*'Input data'!$B$24)),P172))</f>
        <v>-102.005790336941</v>
      </c>
      <c r="Q173">
        <f t="shared" si="30"/>
        <v>94.47854469234332</v>
      </c>
      <c r="T173">
        <f t="shared" si="31"/>
        <v>0</v>
      </c>
      <c r="U173">
        <f t="shared" si="32"/>
        <v>0</v>
      </c>
      <c r="V173" s="74">
        <f>IF(X173=0,'Input data'!$Q$22,Q173)</f>
        <v>80.034601194491032</v>
      </c>
      <c r="W173" s="74">
        <f>IF(U173=0,'Input data'!$Q$23,U173)</f>
        <v>0</v>
      </c>
      <c r="X173" s="74">
        <f t="shared" si="38"/>
        <v>0</v>
      </c>
      <c r="Y173">
        <f>IF(P172&lt;Param_1,Y172,A174*'Input data'!$B$25*SIN(RADIANS('Input data'!$B$10)))</f>
        <v>0</v>
      </c>
      <c r="Z173">
        <f>IF(P172&lt;Param_1,Z172,A174*'Input data'!$B$25*COS(RADIANS('Input data'!$B$10)))</f>
        <v>62.083333333333186</v>
      </c>
      <c r="AA173">
        <f t="shared" si="36"/>
        <v>14.899999999999963</v>
      </c>
      <c r="AB173">
        <f t="shared" si="37"/>
        <v>5.1999999999999975</v>
      </c>
      <c r="AC173">
        <f>IF(ROUND(A173*10,3)='Input data'!$B$14*10,M173,0)</f>
        <v>0</v>
      </c>
      <c r="AD173">
        <f>IF(ROUND(A173*10,3)='Input data'!$B$14*10,N173,0)</f>
        <v>0</v>
      </c>
      <c r="AE173">
        <f>IF(ROUND(A173*10,3)='Input data'!$B$14*10,P173,0)</f>
        <v>0</v>
      </c>
      <c r="AF173">
        <f>IF('Input data'!$B$26="C",IF((3.14159265*1860/4)*((0.001*'Input data'!$B$20)-(2*'Input data'!$B$28*A173))^2*((0.33333*0.001*'Input data'!$B$20)-(2*'Input data'!$B$28*A173))&lt;0,(3.14159265*1860/4)*((0.001*'Input data'!$B$20)-(2*'Input data'!$B$28*A173))^2*((0.33333*0.001*'Input data'!$B$20)-(2*'Input data'!$B$28*A173)),(3.14159265*1860/4)*((0.001*'Input data'!$B$20)-(2*'Input data'!$B$28*A173))^2*((0.33333*0.001*'Input data'!$B$20)-(2*'Input data'!$B$28*A173))),'Input data'!$B$21)</f>
        <v>0.40680208090393727</v>
      </c>
      <c r="AG173">
        <f t="shared" si="33"/>
        <v>0</v>
      </c>
      <c r="AH173">
        <f t="shared" si="34"/>
        <v>0</v>
      </c>
      <c r="AI173">
        <f t="shared" si="39"/>
        <v>0</v>
      </c>
      <c r="AJ173">
        <f t="shared" si="35"/>
        <v>3000</v>
      </c>
      <c r="AK173">
        <f>IF('Input data'!$B$26="S",'Input data'!$B$22,3.1415*(('Input data'!$B$20*0.0005)-('Input data'!$B$28*A173))^2)</f>
        <v>7.8539816250000026E-3</v>
      </c>
    </row>
    <row r="174" spans="1:37" x14ac:dyDescent="0.2">
      <c r="A174" s="9">
        <f>A173+'Input data'!$B$24</f>
        <v>16.699999999999967</v>
      </c>
      <c r="B174">
        <f>B173+(J173*'Input data'!$B$24)</f>
        <v>5.5574781518727079</v>
      </c>
      <c r="C174">
        <f>C173+(K173*'Input data'!$B$24)</f>
        <v>0</v>
      </c>
      <c r="D174">
        <f>D173+(L173*'Input data'!$B$24)</f>
        <v>-40.210624588646269</v>
      </c>
      <c r="E174">
        <f>IF('Input data'!$B$13=2,'Input data'!$B$25*((0.1036*LN(ABS(P173+1)))+0.8731),IF('Input data'!$B$13=3,'Input data'!$B$25*((0.139*LN(ABS(P173+1)))+0.7503),'Input data'!$B$25))</f>
        <v>5.6301351032067828</v>
      </c>
      <c r="F174">
        <f>E174*COS(RADIANS('Input data'!$B$10))</f>
        <v>5.6301351032067828</v>
      </c>
      <c r="G174">
        <f>E174*SIN(RADIANS('Input data'!$B$10))</f>
        <v>0</v>
      </c>
      <c r="H174">
        <f>1.22*EXP(-0.0001065*(P173+'Input data'!$B$12))</f>
        <v>1.233325864824522</v>
      </c>
      <c r="I174">
        <f t="shared" si="29"/>
        <v>40.210690230853054</v>
      </c>
      <c r="J174">
        <f>-0.5*H174*I174*AK174*'Input data'!$B$19*(B174-F174)/AF174</f>
        <v>1.7536581559007631E-2</v>
      </c>
      <c r="K174">
        <f>-0.5*H174*I174*AK174*'Input data'!$B$19*(C174-G174)/AF174</f>
        <v>0</v>
      </c>
      <c r="L174">
        <f>(-0.5*H174*AK174*I174*'Input data'!$B$19*D174/AF174)-'Input data'!$B$23</f>
        <v>-9.9708425142436496E-2</v>
      </c>
      <c r="M174">
        <f>IF(AF174&gt;0,IF(P173&lt;=Param_1,M173,M173+(B175*'Input data'!$B$24)),M173)</f>
        <v>94.47854469234332</v>
      </c>
      <c r="N174">
        <f>IF(AF174&gt;0,IF(P173&lt;=Param_1,N173,N173+(C175*'Input data'!$B$24)),N173)</f>
        <v>0</v>
      </c>
      <c r="O174">
        <f t="shared" si="28"/>
        <v>0</v>
      </c>
      <c r="P174">
        <f>IF(P173&lt;=-100000,0,IF(AF174&gt;0,IF(P173&lt;Param_1,P173,P173+(D175*'Input data'!$B$24)),P173))</f>
        <v>-102.005790336941</v>
      </c>
      <c r="Q174">
        <f t="shared" si="30"/>
        <v>94.47854469234332</v>
      </c>
      <c r="T174">
        <f t="shared" si="31"/>
        <v>0</v>
      </c>
      <c r="U174">
        <f t="shared" si="32"/>
        <v>0</v>
      </c>
      <c r="V174" s="74">
        <f>IF(X174=0,'Input data'!$Q$22,Q174)</f>
        <v>80.034601194491032</v>
      </c>
      <c r="W174" s="74">
        <f>IF(U174=0,'Input data'!$Q$23,U174)</f>
        <v>0</v>
      </c>
      <c r="X174" s="74">
        <f t="shared" si="38"/>
        <v>0</v>
      </c>
      <c r="Y174">
        <f>IF(P173&lt;Param_1,Y173,A175*'Input data'!$B$25*SIN(RADIANS('Input data'!$B$10)))</f>
        <v>0</v>
      </c>
      <c r="Z174">
        <f>IF(P173&lt;Param_1,Z173,A175*'Input data'!$B$25*COS(RADIANS('Input data'!$B$10)))</f>
        <v>62.083333333333186</v>
      </c>
      <c r="AA174">
        <f t="shared" si="36"/>
        <v>14.899999999999963</v>
      </c>
      <c r="AB174">
        <f t="shared" si="37"/>
        <v>5.1999999999999975</v>
      </c>
      <c r="AC174">
        <f>IF(ROUND(A174*10,3)='Input data'!$B$14*10,M174,0)</f>
        <v>0</v>
      </c>
      <c r="AD174">
        <f>IF(ROUND(A174*10,3)='Input data'!$B$14*10,N174,0)</f>
        <v>0</v>
      </c>
      <c r="AE174">
        <f>IF(ROUND(A174*10,3)='Input data'!$B$14*10,P174,0)</f>
        <v>0</v>
      </c>
      <c r="AF174">
        <f>IF('Input data'!$B$26="C",IF((3.14159265*1860/4)*((0.001*'Input data'!$B$20)-(2*'Input data'!$B$28*A174))^2*((0.33333*0.001*'Input data'!$B$20)-(2*'Input data'!$B$28*A174))&lt;0,(3.14159265*1860/4)*((0.001*'Input data'!$B$20)-(2*'Input data'!$B$28*A174))^2*((0.33333*0.001*'Input data'!$B$20)-(2*'Input data'!$B$28*A174)),(3.14159265*1860/4)*((0.001*'Input data'!$B$20)-(2*'Input data'!$B$28*A174))^2*((0.33333*0.001*'Input data'!$B$20)-(2*'Input data'!$B$28*A174))),'Input data'!$B$21)</f>
        <v>0.40680208090393727</v>
      </c>
      <c r="AG174">
        <f t="shared" si="33"/>
        <v>0</v>
      </c>
      <c r="AH174">
        <f t="shared" si="34"/>
        <v>0</v>
      </c>
      <c r="AI174">
        <f t="shared" si="39"/>
        <v>0</v>
      </c>
      <c r="AJ174">
        <f t="shared" si="35"/>
        <v>3000</v>
      </c>
      <c r="AK174">
        <f>IF('Input data'!$B$26="S",'Input data'!$B$22,3.1415*(('Input data'!$B$20*0.0005)-('Input data'!$B$28*A174))^2)</f>
        <v>7.8539816250000026E-3</v>
      </c>
    </row>
    <row r="175" spans="1:37" x14ac:dyDescent="0.2">
      <c r="A175" s="9">
        <f>A174+'Input data'!$B$24</f>
        <v>16.799999999999969</v>
      </c>
      <c r="B175">
        <f>B174+(J174*'Input data'!$B$24)</f>
        <v>5.5592318100286082</v>
      </c>
      <c r="C175">
        <f>C174+(K174*'Input data'!$B$24)</f>
        <v>0</v>
      </c>
      <c r="D175">
        <f>D174+(L174*'Input data'!$B$24)</f>
        <v>-40.220595431160511</v>
      </c>
      <c r="E175">
        <f>IF('Input data'!$B$13=2,'Input data'!$B$25*((0.1036*LN(ABS(P174+1)))+0.8731),IF('Input data'!$B$13=3,'Input data'!$B$25*((0.139*LN(ABS(P174+1)))+0.7503),'Input data'!$B$25))</f>
        <v>5.6301351032067828</v>
      </c>
      <c r="F175">
        <f>E175*COS(RADIANS('Input data'!$B$10))</f>
        <v>5.6301351032067828</v>
      </c>
      <c r="G175">
        <f>E175*SIN(RADIANS('Input data'!$B$10))</f>
        <v>0</v>
      </c>
      <c r="H175">
        <f>1.22*EXP(-0.0001065*(P174+'Input data'!$B$12))</f>
        <v>1.233325864824522</v>
      </c>
      <c r="I175">
        <f t="shared" si="29"/>
        <v>40.22065792741428</v>
      </c>
      <c r="J175">
        <f>-0.5*H175*I175*AK175*'Input data'!$B$19*(B175-F175)/AF175</f>
        <v>1.7117558382092241E-2</v>
      </c>
      <c r="K175">
        <f>-0.5*H175*I175*AK175*'Input data'!$B$19*(C175-G175)/AF175</f>
        <v>0</v>
      </c>
      <c r="L175">
        <f>(-0.5*H175*AK175*I175*'Input data'!$B$19*D175/AF175)-'Input data'!$B$23</f>
        <v>-9.4895439337227216E-2</v>
      </c>
      <c r="M175">
        <f>IF(AF175&gt;0,IF(P174&lt;=Param_1,M174,M174+(B176*'Input data'!$B$24)),M174)</f>
        <v>94.47854469234332</v>
      </c>
      <c r="N175">
        <f>IF(AF175&gt;0,IF(P174&lt;=Param_1,N174,N174+(C176*'Input data'!$B$24)),N174)</f>
        <v>0</v>
      </c>
      <c r="O175">
        <f t="shared" si="28"/>
        <v>0</v>
      </c>
      <c r="P175">
        <f>IF(P174&lt;=-100000,0,IF(AF175&gt;0,IF(P174&lt;Param_1,P174,P174+(D176*'Input data'!$B$24)),P174))</f>
        <v>-102.005790336941</v>
      </c>
      <c r="Q175">
        <f t="shared" si="30"/>
        <v>94.47854469234332</v>
      </c>
      <c r="T175">
        <f t="shared" si="31"/>
        <v>0</v>
      </c>
      <c r="U175">
        <f t="shared" si="32"/>
        <v>0</v>
      </c>
      <c r="V175" s="74">
        <f>IF(X175=0,'Input data'!$Q$22,Q175)</f>
        <v>80.034601194491032</v>
      </c>
      <c r="W175" s="74">
        <f>IF(U175=0,'Input data'!$Q$23,U175)</f>
        <v>0</v>
      </c>
      <c r="X175" s="74">
        <f t="shared" si="38"/>
        <v>0</v>
      </c>
      <c r="Y175">
        <f>IF(P174&lt;Param_1,Y174,A176*'Input data'!$B$25*SIN(RADIANS('Input data'!$B$10)))</f>
        <v>0</v>
      </c>
      <c r="Z175">
        <f>IF(P174&lt;Param_1,Z174,A176*'Input data'!$B$25*COS(RADIANS('Input data'!$B$10)))</f>
        <v>62.083333333333186</v>
      </c>
      <c r="AA175">
        <f t="shared" si="36"/>
        <v>14.899999999999963</v>
      </c>
      <c r="AB175">
        <f t="shared" si="37"/>
        <v>5.1999999999999975</v>
      </c>
      <c r="AC175">
        <f>IF(ROUND(A175*10,3)='Input data'!$B$14*10,M175,0)</f>
        <v>0</v>
      </c>
      <c r="AD175">
        <f>IF(ROUND(A175*10,3)='Input data'!$B$14*10,N175,0)</f>
        <v>0</v>
      </c>
      <c r="AE175">
        <f>IF(ROUND(A175*10,3)='Input data'!$B$14*10,P175,0)</f>
        <v>0</v>
      </c>
      <c r="AF175">
        <f>IF('Input data'!$B$26="C",IF((3.14159265*1860/4)*((0.001*'Input data'!$B$20)-(2*'Input data'!$B$28*A175))^2*((0.33333*0.001*'Input data'!$B$20)-(2*'Input data'!$B$28*A175))&lt;0,(3.14159265*1860/4)*((0.001*'Input data'!$B$20)-(2*'Input data'!$B$28*A175))^2*((0.33333*0.001*'Input data'!$B$20)-(2*'Input data'!$B$28*A175)),(3.14159265*1860/4)*((0.001*'Input data'!$B$20)-(2*'Input data'!$B$28*A175))^2*((0.33333*0.001*'Input data'!$B$20)-(2*'Input data'!$B$28*A175))),'Input data'!$B$21)</f>
        <v>0.40680208090393727</v>
      </c>
      <c r="AG175">
        <f t="shared" si="33"/>
        <v>0</v>
      </c>
      <c r="AH175">
        <f t="shared" si="34"/>
        <v>0</v>
      </c>
      <c r="AI175">
        <f t="shared" si="39"/>
        <v>0</v>
      </c>
      <c r="AJ175">
        <f t="shared" si="35"/>
        <v>3000</v>
      </c>
      <c r="AK175">
        <f>IF('Input data'!$B$26="S",'Input data'!$B$22,3.1415*(('Input data'!$B$20*0.0005)-('Input data'!$B$28*A175))^2)</f>
        <v>7.8539816250000026E-3</v>
      </c>
    </row>
    <row r="176" spans="1:37" x14ac:dyDescent="0.2">
      <c r="A176" s="9">
        <f>A175+'Input data'!$B$24</f>
        <v>16.89999999999997</v>
      </c>
      <c r="B176">
        <f>B175+(J175*'Input data'!$B$24)</f>
        <v>5.5609435658668174</v>
      </c>
      <c r="C176">
        <f>C175+(K175*'Input data'!$B$24)</f>
        <v>0</v>
      </c>
      <c r="D176">
        <f>D175+(L175*'Input data'!$B$24)</f>
        <v>-40.230084975094236</v>
      </c>
      <c r="E176">
        <f>IF('Input data'!$B$13=2,'Input data'!$B$25*((0.1036*LN(ABS(P175+1)))+0.8731),IF('Input data'!$B$13=3,'Input data'!$B$25*((0.139*LN(ABS(P175+1)))+0.7503),'Input data'!$B$25))</f>
        <v>5.6301351032067828</v>
      </c>
      <c r="F176">
        <f>E176*COS(RADIANS('Input data'!$B$10))</f>
        <v>5.6301351032067828</v>
      </c>
      <c r="G176">
        <f>E176*SIN(RADIANS('Input data'!$B$10))</f>
        <v>0</v>
      </c>
      <c r="H176">
        <f>1.22*EXP(-0.0001065*(P175+'Input data'!$B$12))</f>
        <v>1.233325864824522</v>
      </c>
      <c r="I176">
        <f t="shared" si="29"/>
        <v>40.230144476152986</v>
      </c>
      <c r="J176">
        <f>-0.5*H176*I176*AK176*'Input data'!$B$19*(B176-F176)/AF176</f>
        <v>1.6708244147807843E-2</v>
      </c>
      <c r="K176">
        <f>-0.5*H176*I176*AK176*'Input data'!$B$19*(C176-G176)/AF176</f>
        <v>0</v>
      </c>
      <c r="L176">
        <f>(-0.5*H176*AK176*I176*'Input data'!$B$19*D176/AF176)-'Input data'!$B$23</f>
        <v>-9.031367140647184E-2</v>
      </c>
      <c r="M176">
        <f>IF(AF176&gt;0,IF(P175&lt;=Param_1,M175,M175+(B177*'Input data'!$B$24)),M175)</f>
        <v>94.47854469234332</v>
      </c>
      <c r="N176">
        <f>IF(AF176&gt;0,IF(P175&lt;=Param_1,N175,N175+(C177*'Input data'!$B$24)),N175)</f>
        <v>0</v>
      </c>
      <c r="O176">
        <f t="shared" si="28"/>
        <v>0</v>
      </c>
      <c r="P176">
        <f>IF(P175&lt;=-100000,0,IF(AF176&gt;0,IF(P175&lt;Param_1,P175,P175+(D177*'Input data'!$B$24)),P175))</f>
        <v>-102.005790336941</v>
      </c>
      <c r="Q176">
        <f t="shared" si="30"/>
        <v>94.47854469234332</v>
      </c>
      <c r="T176">
        <f t="shared" si="31"/>
        <v>0</v>
      </c>
      <c r="U176">
        <f t="shared" si="32"/>
        <v>0</v>
      </c>
      <c r="V176" s="74">
        <f>IF(X176=0,'Input data'!$Q$22,Q176)</f>
        <v>80.034601194491032</v>
      </c>
      <c r="W176" s="74">
        <f>IF(U176=0,'Input data'!$Q$23,U176)</f>
        <v>0</v>
      </c>
      <c r="X176" s="74">
        <f t="shared" si="38"/>
        <v>0</v>
      </c>
      <c r="Y176">
        <f>IF(P175&lt;Param_1,Y175,A177*'Input data'!$B$25*SIN(RADIANS('Input data'!$B$10)))</f>
        <v>0</v>
      </c>
      <c r="Z176">
        <f>IF(P175&lt;Param_1,Z175,A177*'Input data'!$B$25*COS(RADIANS('Input data'!$B$10)))</f>
        <v>62.083333333333186</v>
      </c>
      <c r="AA176">
        <f t="shared" si="36"/>
        <v>14.899999999999963</v>
      </c>
      <c r="AB176">
        <f t="shared" si="37"/>
        <v>5.1999999999999975</v>
      </c>
      <c r="AC176">
        <f>IF(ROUND(A176*10,3)='Input data'!$B$14*10,M176,0)</f>
        <v>0</v>
      </c>
      <c r="AD176">
        <f>IF(ROUND(A176*10,3)='Input data'!$B$14*10,N176,0)</f>
        <v>0</v>
      </c>
      <c r="AE176">
        <f>IF(ROUND(A176*10,3)='Input data'!$B$14*10,P176,0)</f>
        <v>0</v>
      </c>
      <c r="AF176">
        <f>IF('Input data'!$B$26="C",IF((3.14159265*1860/4)*((0.001*'Input data'!$B$20)-(2*'Input data'!$B$28*A176))^2*((0.33333*0.001*'Input data'!$B$20)-(2*'Input data'!$B$28*A176))&lt;0,(3.14159265*1860/4)*((0.001*'Input data'!$B$20)-(2*'Input data'!$B$28*A176))^2*((0.33333*0.001*'Input data'!$B$20)-(2*'Input data'!$B$28*A176)),(3.14159265*1860/4)*((0.001*'Input data'!$B$20)-(2*'Input data'!$B$28*A176))^2*((0.33333*0.001*'Input data'!$B$20)-(2*'Input data'!$B$28*A176))),'Input data'!$B$21)</f>
        <v>0.40680208090393727</v>
      </c>
      <c r="AG176">
        <f t="shared" si="33"/>
        <v>0</v>
      </c>
      <c r="AH176">
        <f t="shared" si="34"/>
        <v>0</v>
      </c>
      <c r="AI176">
        <f t="shared" si="39"/>
        <v>0</v>
      </c>
      <c r="AJ176">
        <f t="shared" si="35"/>
        <v>3000</v>
      </c>
      <c r="AK176">
        <f>IF('Input data'!$B$26="S",'Input data'!$B$22,3.1415*(('Input data'!$B$20*0.0005)-('Input data'!$B$28*A176))^2)</f>
        <v>7.8539816250000026E-3</v>
      </c>
    </row>
    <row r="177" spans="1:37" x14ac:dyDescent="0.2">
      <c r="A177" s="9">
        <f>A176+'Input data'!$B$24</f>
        <v>16.999999999999972</v>
      </c>
      <c r="B177">
        <f>B176+(J176*'Input data'!$B$24)</f>
        <v>5.5626143902815981</v>
      </c>
      <c r="C177">
        <f>C176+(K176*'Input data'!$B$24)</f>
        <v>0</v>
      </c>
      <c r="D177">
        <f>D176+(L176*'Input data'!$B$24)</f>
        <v>-40.239116342234887</v>
      </c>
      <c r="E177">
        <f>IF('Input data'!$B$13=2,'Input data'!$B$25*((0.1036*LN(ABS(P176+1)))+0.8731),IF('Input data'!$B$13=3,'Input data'!$B$25*((0.139*LN(ABS(P176+1)))+0.7503),'Input data'!$B$25))</f>
        <v>5.6301351032067828</v>
      </c>
      <c r="F177">
        <f>E177*COS(RADIANS('Input data'!$B$10))</f>
        <v>5.6301351032067828</v>
      </c>
      <c r="G177">
        <f>E177*SIN(RADIANS('Input data'!$B$10))</f>
        <v>0</v>
      </c>
      <c r="H177">
        <f>1.22*EXP(-0.0001065*(P176+'Input data'!$B$12))</f>
        <v>1.233325864824522</v>
      </c>
      <c r="I177">
        <f t="shared" si="29"/>
        <v>40.239172991633275</v>
      </c>
      <c r="J177">
        <f>-0.5*H177*I177*AK177*'Input data'!$B$19*(B177-F177)/AF177</f>
        <v>1.6308435710917842E-2</v>
      </c>
      <c r="K177">
        <f>-0.5*H177*I177*AK177*'Input data'!$B$19*(C177-G177)/AF177</f>
        <v>0</v>
      </c>
      <c r="L177">
        <f>(-0.5*H177*AK177*I177*'Input data'!$B$19*D177/AF177)-'Input data'!$B$23</f>
        <v>-8.5952118224600582E-2</v>
      </c>
      <c r="M177">
        <f>IF(AF177&gt;0,IF(P176&lt;=Param_1,M176,M176+(B178*'Input data'!$B$24)),M176)</f>
        <v>94.47854469234332</v>
      </c>
      <c r="N177">
        <f>IF(AF177&gt;0,IF(P176&lt;=Param_1,N176,N176+(C178*'Input data'!$B$24)),N176)</f>
        <v>0</v>
      </c>
      <c r="O177">
        <f t="shared" si="28"/>
        <v>0</v>
      </c>
      <c r="P177">
        <f>IF(P176&lt;=-100000,0,IF(AF177&gt;0,IF(P176&lt;Param_1,P176,P176+(D178*'Input data'!$B$24)),P176))</f>
        <v>-102.005790336941</v>
      </c>
      <c r="Q177">
        <f t="shared" si="30"/>
        <v>94.47854469234332</v>
      </c>
      <c r="T177">
        <f t="shared" si="31"/>
        <v>0</v>
      </c>
      <c r="U177">
        <f t="shared" si="32"/>
        <v>0</v>
      </c>
      <c r="V177" s="74">
        <f>IF(X177=0,'Input data'!$Q$22,Q177)</f>
        <v>80.034601194491032</v>
      </c>
      <c r="W177" s="74">
        <f>IF(U177=0,'Input data'!$Q$23,U177)</f>
        <v>0</v>
      </c>
      <c r="X177" s="74">
        <f t="shared" si="38"/>
        <v>0</v>
      </c>
      <c r="Y177">
        <f>IF(P176&lt;Param_1,Y176,A178*'Input data'!$B$25*SIN(RADIANS('Input data'!$B$10)))</f>
        <v>0</v>
      </c>
      <c r="Z177">
        <f>IF(P176&lt;Param_1,Z176,A178*'Input data'!$B$25*COS(RADIANS('Input data'!$B$10)))</f>
        <v>62.083333333333186</v>
      </c>
      <c r="AA177">
        <f t="shared" si="36"/>
        <v>14.899999999999963</v>
      </c>
      <c r="AB177">
        <f t="shared" si="37"/>
        <v>5.1999999999999975</v>
      </c>
      <c r="AC177">
        <f>IF(ROUND(A177*10,3)='Input data'!$B$14*10,M177,0)</f>
        <v>0</v>
      </c>
      <c r="AD177">
        <f>IF(ROUND(A177*10,3)='Input data'!$B$14*10,N177,0)</f>
        <v>0</v>
      </c>
      <c r="AE177">
        <f>IF(ROUND(A177*10,3)='Input data'!$B$14*10,P177,0)</f>
        <v>0</v>
      </c>
      <c r="AF177">
        <f>IF('Input data'!$B$26="C",IF((3.14159265*1860/4)*((0.001*'Input data'!$B$20)-(2*'Input data'!$B$28*A177))^2*((0.33333*0.001*'Input data'!$B$20)-(2*'Input data'!$B$28*A177))&lt;0,(3.14159265*1860/4)*((0.001*'Input data'!$B$20)-(2*'Input data'!$B$28*A177))^2*((0.33333*0.001*'Input data'!$B$20)-(2*'Input data'!$B$28*A177)),(3.14159265*1860/4)*((0.001*'Input data'!$B$20)-(2*'Input data'!$B$28*A177))^2*((0.33333*0.001*'Input data'!$B$20)-(2*'Input data'!$B$28*A177))),'Input data'!$B$21)</f>
        <v>0.40680208090393727</v>
      </c>
      <c r="AG177">
        <f t="shared" si="33"/>
        <v>0</v>
      </c>
      <c r="AH177">
        <f t="shared" si="34"/>
        <v>0</v>
      </c>
      <c r="AI177">
        <f t="shared" si="39"/>
        <v>0</v>
      </c>
      <c r="AJ177">
        <f t="shared" si="35"/>
        <v>3000</v>
      </c>
      <c r="AK177">
        <f>IF('Input data'!$B$26="S",'Input data'!$B$22,3.1415*(('Input data'!$B$20*0.0005)-('Input data'!$B$28*A177))^2)</f>
        <v>7.8539816250000026E-3</v>
      </c>
    </row>
    <row r="178" spans="1:37" x14ac:dyDescent="0.2">
      <c r="A178" s="9">
        <f>A177+'Input data'!$B$24</f>
        <v>17.099999999999973</v>
      </c>
      <c r="B178">
        <f>B177+(J177*'Input data'!$B$24)</f>
        <v>5.5642452338526898</v>
      </c>
      <c r="C178">
        <f>C177+(K177*'Input data'!$B$24)</f>
        <v>0</v>
      </c>
      <c r="D178">
        <f>D177+(L177*'Input data'!$B$24)</f>
        <v>-40.247711554057346</v>
      </c>
      <c r="E178">
        <f>IF('Input data'!$B$13=2,'Input data'!$B$25*((0.1036*LN(ABS(P177+1)))+0.8731),IF('Input data'!$B$13=3,'Input data'!$B$25*((0.139*LN(ABS(P177+1)))+0.7503),'Input data'!$B$25))</f>
        <v>5.6301351032067828</v>
      </c>
      <c r="F178">
        <f>E178*COS(RADIANS('Input data'!$B$10))</f>
        <v>5.6301351032067828</v>
      </c>
      <c r="G178">
        <f>E178*SIN(RADIANS('Input data'!$B$10))</f>
        <v>0</v>
      </c>
      <c r="H178">
        <f>1.22*EXP(-0.0001065*(P177+'Input data'!$B$12))</f>
        <v>1.233325864824522</v>
      </c>
      <c r="I178">
        <f t="shared" si="29"/>
        <v>40.247765488452707</v>
      </c>
      <c r="J178">
        <f>-0.5*H178*I178*AK178*'Input data'!$B$19*(B178-F178)/AF178</f>
        <v>1.5917932568923428E-2</v>
      </c>
      <c r="K178">
        <f>-0.5*H178*I178*AK178*'Input data'!$B$19*(C178-G178)/AF178</f>
        <v>0</v>
      </c>
      <c r="L178">
        <f>(-0.5*H178*AK178*I178*'Input data'!$B$19*D178/AF178)-'Input data'!$B$23</f>
        <v>-8.1800290374713924E-2</v>
      </c>
      <c r="M178">
        <f>IF(AF178&gt;0,IF(P177&lt;=Param_1,M177,M177+(B179*'Input data'!$B$24)),M177)</f>
        <v>94.47854469234332</v>
      </c>
      <c r="N178">
        <f>IF(AF178&gt;0,IF(P177&lt;=Param_1,N177,N177+(C179*'Input data'!$B$24)),N177)</f>
        <v>0</v>
      </c>
      <c r="O178">
        <f t="shared" si="28"/>
        <v>0</v>
      </c>
      <c r="P178">
        <f>IF(P177&lt;=-100000,0,IF(AF178&gt;0,IF(P177&lt;Param_1,P177,P177+(D179*'Input data'!$B$24)),P177))</f>
        <v>-102.005790336941</v>
      </c>
      <c r="Q178">
        <f t="shared" si="30"/>
        <v>94.47854469234332</v>
      </c>
      <c r="T178">
        <f t="shared" si="31"/>
        <v>0</v>
      </c>
      <c r="U178">
        <f t="shared" si="32"/>
        <v>0</v>
      </c>
      <c r="V178" s="74">
        <f>IF(X178=0,'Input data'!$Q$22,Q178)</f>
        <v>80.034601194491032</v>
      </c>
      <c r="W178" s="74">
        <f>IF(U178=0,'Input data'!$Q$23,U178)</f>
        <v>0</v>
      </c>
      <c r="X178" s="74">
        <f t="shared" si="38"/>
        <v>0</v>
      </c>
      <c r="Y178">
        <f>IF(P177&lt;Param_1,Y177,A179*'Input data'!$B$25*SIN(RADIANS('Input data'!$B$10)))</f>
        <v>0</v>
      </c>
      <c r="Z178">
        <f>IF(P177&lt;Param_1,Z177,A179*'Input data'!$B$25*COS(RADIANS('Input data'!$B$10)))</f>
        <v>62.083333333333186</v>
      </c>
      <c r="AA178">
        <f t="shared" si="36"/>
        <v>14.899999999999963</v>
      </c>
      <c r="AB178">
        <f t="shared" si="37"/>
        <v>5.1999999999999975</v>
      </c>
      <c r="AC178">
        <f>IF(ROUND(A178*10,3)='Input data'!$B$14*10,M178,0)</f>
        <v>0</v>
      </c>
      <c r="AD178">
        <f>IF(ROUND(A178*10,3)='Input data'!$B$14*10,N178,0)</f>
        <v>0</v>
      </c>
      <c r="AE178">
        <f>IF(ROUND(A178*10,3)='Input data'!$B$14*10,P178,0)</f>
        <v>0</v>
      </c>
      <c r="AF178">
        <f>IF('Input data'!$B$26="C",IF((3.14159265*1860/4)*((0.001*'Input data'!$B$20)-(2*'Input data'!$B$28*A178))^2*((0.33333*0.001*'Input data'!$B$20)-(2*'Input data'!$B$28*A178))&lt;0,(3.14159265*1860/4)*((0.001*'Input data'!$B$20)-(2*'Input data'!$B$28*A178))^2*((0.33333*0.001*'Input data'!$B$20)-(2*'Input data'!$B$28*A178)),(3.14159265*1860/4)*((0.001*'Input data'!$B$20)-(2*'Input data'!$B$28*A178))^2*((0.33333*0.001*'Input data'!$B$20)-(2*'Input data'!$B$28*A178))),'Input data'!$B$21)</f>
        <v>0.40680208090393727</v>
      </c>
      <c r="AG178">
        <f t="shared" si="33"/>
        <v>0</v>
      </c>
      <c r="AH178">
        <f t="shared" si="34"/>
        <v>0</v>
      </c>
      <c r="AI178">
        <f t="shared" si="39"/>
        <v>0</v>
      </c>
      <c r="AJ178">
        <f t="shared" si="35"/>
        <v>3000</v>
      </c>
      <c r="AK178">
        <f>IF('Input data'!$B$26="S",'Input data'!$B$22,3.1415*(('Input data'!$B$20*0.0005)-('Input data'!$B$28*A178))^2)</f>
        <v>7.8539816250000026E-3</v>
      </c>
    </row>
    <row r="179" spans="1:37" x14ac:dyDescent="0.2">
      <c r="A179" s="9">
        <f>A178+'Input data'!$B$24</f>
        <v>17.199999999999974</v>
      </c>
      <c r="B179">
        <f>B178+(J178*'Input data'!$B$24)</f>
        <v>5.5658370271095823</v>
      </c>
      <c r="C179">
        <f>C178+(K178*'Input data'!$B$24)</f>
        <v>0</v>
      </c>
      <c r="D179">
        <f>D178+(L178*'Input data'!$B$24)</f>
        <v>-40.255891583094815</v>
      </c>
      <c r="E179">
        <f>IF('Input data'!$B$13=2,'Input data'!$B$25*((0.1036*LN(ABS(P178+1)))+0.8731),IF('Input data'!$B$13=3,'Input data'!$B$25*((0.139*LN(ABS(P178+1)))+0.7503),'Input data'!$B$25))</f>
        <v>5.6301351032067828</v>
      </c>
      <c r="F179">
        <f>E179*COS(RADIANS('Input data'!$B$10))</f>
        <v>5.6301351032067828</v>
      </c>
      <c r="G179">
        <f>E179*SIN(RADIANS('Input data'!$B$10))</f>
        <v>0</v>
      </c>
      <c r="H179">
        <f>1.22*EXP(-0.0001065*(P178+'Input data'!$B$12))</f>
        <v>1.233325864824522</v>
      </c>
      <c r="I179">
        <f t="shared" si="29"/>
        <v>40.255942932596597</v>
      </c>
      <c r="J179">
        <f>-0.5*H179*I179*AK179*'Input data'!$B$19*(B179-F179)/AF179</f>
        <v>1.5536536957698655E-2</v>
      </c>
      <c r="K179">
        <f>-0.5*H179*I179*AK179*'Input data'!$B$19*(C179-G179)/AF179</f>
        <v>0</v>
      </c>
      <c r="L179">
        <f>(-0.5*H179*AK179*I179*'Input data'!$B$19*D179/AF179)-'Input data'!$B$23</f>
        <v>-7.7848189106331844E-2</v>
      </c>
      <c r="M179">
        <f>IF(AF179&gt;0,IF(P178&lt;=Param_1,M178,M178+(B180*'Input data'!$B$24)),M178)</f>
        <v>94.47854469234332</v>
      </c>
      <c r="N179">
        <f>IF(AF179&gt;0,IF(P178&lt;=Param_1,N178,N178+(C180*'Input data'!$B$24)),N178)</f>
        <v>0</v>
      </c>
      <c r="O179">
        <f t="shared" si="28"/>
        <v>0</v>
      </c>
      <c r="P179">
        <f>IF(P178&lt;=-100000,0,IF(AF179&gt;0,IF(P178&lt;Param_1,P178,P178+(D180*'Input data'!$B$24)),P178))</f>
        <v>-102.005790336941</v>
      </c>
      <c r="Q179">
        <f t="shared" si="30"/>
        <v>94.47854469234332</v>
      </c>
      <c r="T179">
        <f t="shared" si="31"/>
        <v>0</v>
      </c>
      <c r="U179">
        <f t="shared" si="32"/>
        <v>0</v>
      </c>
      <c r="V179" s="74">
        <f>IF(X179=0,'Input data'!$Q$22,Q179)</f>
        <v>80.034601194491032</v>
      </c>
      <c r="W179" s="74">
        <f>IF(U179=0,'Input data'!$Q$23,U179)</f>
        <v>0</v>
      </c>
      <c r="X179" s="74">
        <f t="shared" si="38"/>
        <v>0</v>
      </c>
      <c r="Y179">
        <f>IF(P178&lt;Param_1,Y178,A180*'Input data'!$B$25*SIN(RADIANS('Input data'!$B$10)))</f>
        <v>0</v>
      </c>
      <c r="Z179">
        <f>IF(P178&lt;Param_1,Z178,A180*'Input data'!$B$25*COS(RADIANS('Input data'!$B$10)))</f>
        <v>62.083333333333186</v>
      </c>
      <c r="AA179">
        <f t="shared" si="36"/>
        <v>14.899999999999963</v>
      </c>
      <c r="AB179">
        <f t="shared" si="37"/>
        <v>5.1999999999999975</v>
      </c>
      <c r="AC179">
        <f>IF(ROUND(A179*10,3)='Input data'!$B$14*10,M179,0)</f>
        <v>0</v>
      </c>
      <c r="AD179">
        <f>IF(ROUND(A179*10,3)='Input data'!$B$14*10,N179,0)</f>
        <v>0</v>
      </c>
      <c r="AE179">
        <f>IF(ROUND(A179*10,3)='Input data'!$B$14*10,P179,0)</f>
        <v>0</v>
      </c>
      <c r="AF179">
        <f>IF('Input data'!$B$26="C",IF((3.14159265*1860/4)*((0.001*'Input data'!$B$20)-(2*'Input data'!$B$28*A179))^2*((0.33333*0.001*'Input data'!$B$20)-(2*'Input data'!$B$28*A179))&lt;0,(3.14159265*1860/4)*((0.001*'Input data'!$B$20)-(2*'Input data'!$B$28*A179))^2*((0.33333*0.001*'Input data'!$B$20)-(2*'Input data'!$B$28*A179)),(3.14159265*1860/4)*((0.001*'Input data'!$B$20)-(2*'Input data'!$B$28*A179))^2*((0.33333*0.001*'Input data'!$B$20)-(2*'Input data'!$B$28*A179))),'Input data'!$B$21)</f>
        <v>0.40680208090393727</v>
      </c>
      <c r="AG179">
        <f t="shared" si="33"/>
        <v>0</v>
      </c>
      <c r="AH179">
        <f t="shared" si="34"/>
        <v>0</v>
      </c>
      <c r="AI179">
        <f t="shared" si="39"/>
        <v>0</v>
      </c>
      <c r="AJ179">
        <f t="shared" si="35"/>
        <v>3000</v>
      </c>
      <c r="AK179">
        <f>IF('Input data'!$B$26="S",'Input data'!$B$22,3.1415*(('Input data'!$B$20*0.0005)-('Input data'!$B$28*A179))^2)</f>
        <v>7.8539816250000026E-3</v>
      </c>
    </row>
    <row r="180" spans="1:37" x14ac:dyDescent="0.2">
      <c r="A180" s="9">
        <f>A179+'Input data'!$B$24</f>
        <v>17.299999999999976</v>
      </c>
      <c r="B180">
        <f>B179+(J179*'Input data'!$B$24)</f>
        <v>5.5673906808053522</v>
      </c>
      <c r="C180">
        <f>C179+(K179*'Input data'!$B$24)</f>
        <v>0</v>
      </c>
      <c r="D180">
        <f>D179+(L179*'Input data'!$B$24)</f>
        <v>-40.263676402005451</v>
      </c>
      <c r="E180">
        <f>IF('Input data'!$B$13=2,'Input data'!$B$25*((0.1036*LN(ABS(P179+1)))+0.8731),IF('Input data'!$B$13=3,'Input data'!$B$25*((0.139*LN(ABS(P179+1)))+0.7503),'Input data'!$B$25))</f>
        <v>5.6301351032067828</v>
      </c>
      <c r="F180">
        <f>E180*COS(RADIANS('Input data'!$B$10))</f>
        <v>5.6301351032067828</v>
      </c>
      <c r="G180">
        <f>E180*SIN(RADIANS('Input data'!$B$10))</f>
        <v>0</v>
      </c>
      <c r="H180">
        <f>1.22*EXP(-0.0001065*(P179+'Input data'!$B$12))</f>
        <v>1.233325864824522</v>
      </c>
      <c r="I180">
        <f t="shared" si="29"/>
        <v>40.263725290488871</v>
      </c>
      <c r="J180">
        <f>-0.5*H180*I180*AK180*'Input data'!$B$19*(B180-F180)/AF180</f>
        <v>1.5164053933817E-2</v>
      </c>
      <c r="K180">
        <f>-0.5*H180*I180*AK180*'Input data'!$B$19*(C180-G180)/AF180</f>
        <v>0</v>
      </c>
      <c r="L180">
        <f>(-0.5*H180*AK180*I180*'Input data'!$B$19*D180/AF180)-'Input data'!$B$23</f>
        <v>-7.4086284236095423E-2</v>
      </c>
      <c r="M180">
        <f>IF(AF180&gt;0,IF(P179&lt;=Param_1,M179,M179+(B181*'Input data'!$B$24)),M179)</f>
        <v>94.47854469234332</v>
      </c>
      <c r="N180">
        <f>IF(AF180&gt;0,IF(P179&lt;=Param_1,N179,N179+(C181*'Input data'!$B$24)),N179)</f>
        <v>0</v>
      </c>
      <c r="O180">
        <f t="shared" si="28"/>
        <v>0</v>
      </c>
      <c r="P180">
        <f>IF(P179&lt;=-100000,0,IF(AF180&gt;0,IF(P179&lt;Param_1,P179,P179+(D181*'Input data'!$B$24)),P179))</f>
        <v>-102.005790336941</v>
      </c>
      <c r="Q180">
        <f t="shared" si="30"/>
        <v>94.47854469234332</v>
      </c>
      <c r="T180">
        <f t="shared" si="31"/>
        <v>0</v>
      </c>
      <c r="U180">
        <f t="shared" si="32"/>
        <v>0</v>
      </c>
      <c r="V180" s="74">
        <f>IF(X180=0,'Input data'!$Q$22,Q180)</f>
        <v>80.034601194491032</v>
      </c>
      <c r="W180" s="74">
        <f>IF(U180=0,'Input data'!$Q$23,U180)</f>
        <v>0</v>
      </c>
      <c r="X180" s="74">
        <f t="shared" si="38"/>
        <v>0</v>
      </c>
      <c r="Y180">
        <f>IF(P179&lt;Param_1,Y179,A181*'Input data'!$B$25*SIN(RADIANS('Input data'!$B$10)))</f>
        <v>0</v>
      </c>
      <c r="Z180">
        <f>IF(P179&lt;Param_1,Z179,A181*'Input data'!$B$25*COS(RADIANS('Input data'!$B$10)))</f>
        <v>62.083333333333186</v>
      </c>
      <c r="AA180">
        <f t="shared" si="36"/>
        <v>14.899999999999963</v>
      </c>
      <c r="AB180">
        <f t="shared" si="37"/>
        <v>5.1999999999999975</v>
      </c>
      <c r="AC180">
        <f>IF(ROUND(A180*10,3)='Input data'!$B$14*10,M180,0)</f>
        <v>0</v>
      </c>
      <c r="AD180">
        <f>IF(ROUND(A180*10,3)='Input data'!$B$14*10,N180,0)</f>
        <v>0</v>
      </c>
      <c r="AE180">
        <f>IF(ROUND(A180*10,3)='Input data'!$B$14*10,P180,0)</f>
        <v>0</v>
      </c>
      <c r="AF180">
        <f>IF('Input data'!$B$26="C",IF((3.14159265*1860/4)*((0.001*'Input data'!$B$20)-(2*'Input data'!$B$28*A180))^2*((0.33333*0.001*'Input data'!$B$20)-(2*'Input data'!$B$28*A180))&lt;0,(3.14159265*1860/4)*((0.001*'Input data'!$B$20)-(2*'Input data'!$B$28*A180))^2*((0.33333*0.001*'Input data'!$B$20)-(2*'Input data'!$B$28*A180)),(3.14159265*1860/4)*((0.001*'Input data'!$B$20)-(2*'Input data'!$B$28*A180))^2*((0.33333*0.001*'Input data'!$B$20)-(2*'Input data'!$B$28*A180))),'Input data'!$B$21)</f>
        <v>0.40680208090393727</v>
      </c>
      <c r="AG180">
        <f t="shared" si="33"/>
        <v>0</v>
      </c>
      <c r="AH180">
        <f t="shared" si="34"/>
        <v>0</v>
      </c>
      <c r="AI180">
        <f t="shared" si="39"/>
        <v>0</v>
      </c>
      <c r="AJ180">
        <f t="shared" si="35"/>
        <v>3000</v>
      </c>
      <c r="AK180">
        <f>IF('Input data'!$B$26="S",'Input data'!$B$22,3.1415*(('Input data'!$B$20*0.0005)-('Input data'!$B$28*A180))^2)</f>
        <v>7.8539816250000026E-3</v>
      </c>
    </row>
    <row r="181" spans="1:37" x14ac:dyDescent="0.2">
      <c r="A181" s="9">
        <f>A180+'Input data'!$B$24</f>
        <v>17.399999999999977</v>
      </c>
      <c r="B181">
        <f>B180+(J180*'Input data'!$B$24)</f>
        <v>5.5689070861987338</v>
      </c>
      <c r="C181">
        <f>C180+(K180*'Input data'!$B$24)</f>
        <v>0</v>
      </c>
      <c r="D181">
        <f>D180+(L180*'Input data'!$B$24)</f>
        <v>-40.271085030429063</v>
      </c>
      <c r="E181">
        <f>IF('Input data'!$B$13=2,'Input data'!$B$25*((0.1036*LN(ABS(P180+1)))+0.8731),IF('Input data'!$B$13=3,'Input data'!$B$25*((0.139*LN(ABS(P180+1)))+0.7503),'Input data'!$B$25))</f>
        <v>5.6301351032067828</v>
      </c>
      <c r="F181">
        <f>E181*COS(RADIANS('Input data'!$B$10))</f>
        <v>5.6301351032067828</v>
      </c>
      <c r="G181">
        <f>E181*SIN(RADIANS('Input data'!$B$10))</f>
        <v>0</v>
      </c>
      <c r="H181">
        <f>1.22*EXP(-0.0001065*(P180+'Input data'!$B$12))</f>
        <v>1.233325864824522</v>
      </c>
      <c r="I181">
        <f t="shared" si="29"/>
        <v>40.271131575833756</v>
      </c>
      <c r="J181">
        <f>-0.5*H181*I181*AK181*'Input data'!$B$19*(B181-F181)/AF181</f>
        <v>1.4800291444626686E-2</v>
      </c>
      <c r="K181">
        <f>-0.5*H181*I181*AK181*'Input data'!$B$19*(C181-G181)/AF181</f>
        <v>0</v>
      </c>
      <c r="L181">
        <f>(-0.5*H181*AK181*I181*'Input data'!$B$19*D181/AF181)-'Input data'!$B$23</f>
        <v>-7.0505492961828509E-2</v>
      </c>
      <c r="M181">
        <f>IF(AF181&gt;0,IF(P180&lt;=Param_1,M180,M180+(B182*'Input data'!$B$24)),M180)</f>
        <v>94.47854469234332</v>
      </c>
      <c r="N181">
        <f>IF(AF181&gt;0,IF(P180&lt;=Param_1,N180,N180+(C182*'Input data'!$B$24)),N180)</f>
        <v>0</v>
      </c>
      <c r="O181">
        <f t="shared" si="28"/>
        <v>0</v>
      </c>
      <c r="P181">
        <f>IF(P180&lt;=-100000,0,IF(AF181&gt;0,IF(P180&lt;Param_1,P180,P180+(D182*'Input data'!$B$24)),P180))</f>
        <v>-102.005790336941</v>
      </c>
      <c r="Q181">
        <f t="shared" si="30"/>
        <v>94.47854469234332</v>
      </c>
      <c r="T181">
        <f t="shared" si="31"/>
        <v>0</v>
      </c>
      <c r="U181">
        <f t="shared" si="32"/>
        <v>0</v>
      </c>
      <c r="V181" s="74">
        <f>IF(X181=0,'Input data'!$Q$22,Q181)</f>
        <v>80.034601194491032</v>
      </c>
      <c r="W181" s="74">
        <f>IF(U181=0,'Input data'!$Q$23,U181)</f>
        <v>0</v>
      </c>
      <c r="X181" s="74">
        <f t="shared" si="38"/>
        <v>0</v>
      </c>
      <c r="Y181">
        <f>IF(P180&lt;Param_1,Y180,A182*'Input data'!$B$25*SIN(RADIANS('Input data'!$B$10)))</f>
        <v>0</v>
      </c>
      <c r="Z181">
        <f>IF(P180&lt;Param_1,Z180,A182*'Input data'!$B$25*COS(RADIANS('Input data'!$B$10)))</f>
        <v>62.083333333333186</v>
      </c>
      <c r="AA181">
        <f t="shared" si="36"/>
        <v>14.899999999999963</v>
      </c>
      <c r="AB181">
        <f t="shared" si="37"/>
        <v>5.1999999999999975</v>
      </c>
      <c r="AC181">
        <f>IF(ROUND(A181*10,3)='Input data'!$B$14*10,M181,0)</f>
        <v>0</v>
      </c>
      <c r="AD181">
        <f>IF(ROUND(A181*10,3)='Input data'!$B$14*10,N181,0)</f>
        <v>0</v>
      </c>
      <c r="AE181">
        <f>IF(ROUND(A181*10,3)='Input data'!$B$14*10,P181,0)</f>
        <v>0</v>
      </c>
      <c r="AF181">
        <f>IF('Input data'!$B$26="C",IF((3.14159265*1860/4)*((0.001*'Input data'!$B$20)-(2*'Input data'!$B$28*A181))^2*((0.33333*0.001*'Input data'!$B$20)-(2*'Input data'!$B$28*A181))&lt;0,(3.14159265*1860/4)*((0.001*'Input data'!$B$20)-(2*'Input data'!$B$28*A181))^2*((0.33333*0.001*'Input data'!$B$20)-(2*'Input data'!$B$28*A181)),(3.14159265*1860/4)*((0.001*'Input data'!$B$20)-(2*'Input data'!$B$28*A181))^2*((0.33333*0.001*'Input data'!$B$20)-(2*'Input data'!$B$28*A181))),'Input data'!$B$21)</f>
        <v>0.40680208090393727</v>
      </c>
      <c r="AG181">
        <f t="shared" si="33"/>
        <v>0</v>
      </c>
      <c r="AH181">
        <f t="shared" si="34"/>
        <v>0</v>
      </c>
      <c r="AI181">
        <f t="shared" si="39"/>
        <v>0</v>
      </c>
      <c r="AJ181">
        <f t="shared" si="35"/>
        <v>3000</v>
      </c>
      <c r="AK181">
        <f>IF('Input data'!$B$26="S",'Input data'!$B$22,3.1415*(('Input data'!$B$20*0.0005)-('Input data'!$B$28*A181))^2)</f>
        <v>7.8539816250000026E-3</v>
      </c>
    </row>
    <row r="182" spans="1:37" x14ac:dyDescent="0.2">
      <c r="A182" s="9">
        <f>A181+'Input data'!$B$24</f>
        <v>17.499999999999979</v>
      </c>
      <c r="B182">
        <f>B181+(J181*'Input data'!$B$24)</f>
        <v>5.5703871153431965</v>
      </c>
      <c r="C182">
        <f>C181+(K181*'Input data'!$B$24)</f>
        <v>0</v>
      </c>
      <c r="D182">
        <f>D181+(L181*'Input data'!$B$24)</f>
        <v>-40.278135579725244</v>
      </c>
      <c r="E182">
        <f>IF('Input data'!$B$13=2,'Input data'!$B$25*((0.1036*LN(ABS(P181+1)))+0.8731),IF('Input data'!$B$13=3,'Input data'!$B$25*((0.139*LN(ABS(P181+1)))+0.7503),'Input data'!$B$25))</f>
        <v>5.6301351032067828</v>
      </c>
      <c r="F182">
        <f>E182*COS(RADIANS('Input data'!$B$10))</f>
        <v>5.6301351032067828</v>
      </c>
      <c r="G182">
        <f>E182*SIN(RADIANS('Input data'!$B$10))</f>
        <v>0</v>
      </c>
      <c r="H182">
        <f>1.22*EXP(-0.0001065*(P181+'Input data'!$B$12))</f>
        <v>1.233325864824522</v>
      </c>
      <c r="I182">
        <f t="shared" si="29"/>
        <v>40.278179894339594</v>
      </c>
      <c r="J182">
        <f>-0.5*H182*I182*AK182*'Input data'!$B$19*(B182-F182)/AF182</f>
        <v>1.4445060387061281E-2</v>
      </c>
      <c r="K182">
        <f>-0.5*H182*I182*AK182*'Input data'!$B$19*(C182-G182)/AF182</f>
        <v>0</v>
      </c>
      <c r="L182">
        <f>(-0.5*H182*AK182*I182*'Input data'!$B$19*D182/AF182)-'Input data'!$B$23</f>
        <v>-6.7097159560312036E-2</v>
      </c>
      <c r="M182">
        <f>IF(AF182&gt;0,IF(P181&lt;=Param_1,M181,M181+(B183*'Input data'!$B$24)),M181)</f>
        <v>94.47854469234332</v>
      </c>
      <c r="N182">
        <f>IF(AF182&gt;0,IF(P181&lt;=Param_1,N181,N181+(C183*'Input data'!$B$24)),N181)</f>
        <v>0</v>
      </c>
      <c r="O182">
        <f t="shared" si="28"/>
        <v>0</v>
      </c>
      <c r="P182">
        <f>IF(P181&lt;=-100000,0,IF(AF182&gt;0,IF(P181&lt;Param_1,P181,P181+(D183*'Input data'!$B$24)),P181))</f>
        <v>-102.005790336941</v>
      </c>
      <c r="Q182">
        <f t="shared" si="30"/>
        <v>94.47854469234332</v>
      </c>
      <c r="T182">
        <f t="shared" si="31"/>
        <v>0</v>
      </c>
      <c r="U182">
        <f t="shared" si="32"/>
        <v>0</v>
      </c>
      <c r="V182" s="74">
        <f>IF(X182=0,'Input data'!$Q$22,Q182)</f>
        <v>80.034601194491032</v>
      </c>
      <c r="W182" s="74">
        <f>IF(U182=0,'Input data'!$Q$23,U182)</f>
        <v>0</v>
      </c>
      <c r="X182" s="74">
        <f t="shared" si="38"/>
        <v>0</v>
      </c>
      <c r="Y182">
        <f>IF(P181&lt;Param_1,Y181,A183*'Input data'!$B$25*SIN(RADIANS('Input data'!$B$10)))</f>
        <v>0</v>
      </c>
      <c r="Z182">
        <f>IF(P181&lt;Param_1,Z181,A183*'Input data'!$B$25*COS(RADIANS('Input data'!$B$10)))</f>
        <v>62.083333333333186</v>
      </c>
      <c r="AA182">
        <f t="shared" si="36"/>
        <v>14.899999999999963</v>
      </c>
      <c r="AB182">
        <f t="shared" si="37"/>
        <v>5.1999999999999975</v>
      </c>
      <c r="AC182">
        <f>IF(ROUND(A182*10,3)='Input data'!$B$14*10,M182,0)</f>
        <v>0</v>
      </c>
      <c r="AD182">
        <f>IF(ROUND(A182*10,3)='Input data'!$B$14*10,N182,0)</f>
        <v>0</v>
      </c>
      <c r="AE182">
        <f>IF(ROUND(A182*10,3)='Input data'!$B$14*10,P182,0)</f>
        <v>0</v>
      </c>
      <c r="AF182">
        <f>IF('Input data'!$B$26="C",IF((3.14159265*1860/4)*((0.001*'Input data'!$B$20)-(2*'Input data'!$B$28*A182))^2*((0.33333*0.001*'Input data'!$B$20)-(2*'Input data'!$B$28*A182))&lt;0,(3.14159265*1860/4)*((0.001*'Input data'!$B$20)-(2*'Input data'!$B$28*A182))^2*((0.33333*0.001*'Input data'!$B$20)-(2*'Input data'!$B$28*A182)),(3.14159265*1860/4)*((0.001*'Input data'!$B$20)-(2*'Input data'!$B$28*A182))^2*((0.33333*0.001*'Input data'!$B$20)-(2*'Input data'!$B$28*A182))),'Input data'!$B$21)</f>
        <v>0.40680208090393727</v>
      </c>
      <c r="AG182">
        <f t="shared" si="33"/>
        <v>0</v>
      </c>
      <c r="AH182">
        <f t="shared" si="34"/>
        <v>0</v>
      </c>
      <c r="AI182">
        <f t="shared" si="39"/>
        <v>0</v>
      </c>
      <c r="AJ182">
        <f t="shared" si="35"/>
        <v>3000</v>
      </c>
      <c r="AK182">
        <f>IF('Input data'!$B$26="S",'Input data'!$B$22,3.1415*(('Input data'!$B$20*0.0005)-('Input data'!$B$28*A182))^2)</f>
        <v>7.8539816250000026E-3</v>
      </c>
    </row>
    <row r="183" spans="1:37" x14ac:dyDescent="0.2">
      <c r="A183" s="9">
        <f>A182+'Input data'!$B$24</f>
        <v>17.59999999999998</v>
      </c>
      <c r="B183">
        <f>B182+(J182*'Input data'!$B$24)</f>
        <v>5.5718316213819028</v>
      </c>
      <c r="C183">
        <f>C182+(K182*'Input data'!$B$24)</f>
        <v>0</v>
      </c>
      <c r="D183">
        <f>D182+(L182*'Input data'!$B$24)</f>
        <v>-40.284845295681279</v>
      </c>
      <c r="E183">
        <f>IF('Input data'!$B$13=2,'Input data'!$B$25*((0.1036*LN(ABS(P182+1)))+0.8731),IF('Input data'!$B$13=3,'Input data'!$B$25*((0.139*LN(ABS(P182+1)))+0.7503),'Input data'!$B$25))</f>
        <v>5.6301351032067828</v>
      </c>
      <c r="F183">
        <f>E183*COS(RADIANS('Input data'!$B$10))</f>
        <v>5.6301351032067828</v>
      </c>
      <c r="G183">
        <f>E183*SIN(RADIANS('Input data'!$B$10))</f>
        <v>0</v>
      </c>
      <c r="H183">
        <f>1.22*EXP(-0.0001065*(P182+'Input data'!$B$12))</f>
        <v>1.233325864824522</v>
      </c>
      <c r="I183">
        <f t="shared" si="29"/>
        <v>40.284887486413155</v>
      </c>
      <c r="J183">
        <f>-0.5*H183*I183*AK183*'Input data'!$B$19*(B183-F183)/AF183</f>
        <v>1.409817465610297E-2</v>
      </c>
      <c r="K183">
        <f>-0.5*H183*I183*AK183*'Input data'!$B$19*(C183-G183)/AF183</f>
        <v>0</v>
      </c>
      <c r="L183">
        <f>(-0.5*H183*AK183*I183*'Input data'!$B$19*D183/AF183)-'Input data'!$B$23</f>
        <v>-6.3853035939214209E-2</v>
      </c>
      <c r="M183">
        <f>IF(AF183&gt;0,IF(P182&lt;=Param_1,M182,M182+(B184*'Input data'!$B$24)),M182)</f>
        <v>94.47854469234332</v>
      </c>
      <c r="N183">
        <f>IF(AF183&gt;0,IF(P182&lt;=Param_1,N182,N182+(C184*'Input data'!$B$24)),N182)</f>
        <v>0</v>
      </c>
      <c r="O183">
        <f t="shared" si="28"/>
        <v>0</v>
      </c>
      <c r="P183">
        <f>IF(P182&lt;=-100000,0,IF(AF183&gt;0,IF(P182&lt;Param_1,P182,P182+(D184*'Input data'!$B$24)),P182))</f>
        <v>-102.005790336941</v>
      </c>
      <c r="Q183">
        <f t="shared" si="30"/>
        <v>94.47854469234332</v>
      </c>
      <c r="T183">
        <f t="shared" si="31"/>
        <v>0</v>
      </c>
      <c r="U183">
        <f t="shared" si="32"/>
        <v>0</v>
      </c>
      <c r="V183" s="74">
        <f>IF(X183=0,'Input data'!$Q$22,Q183)</f>
        <v>80.034601194491032</v>
      </c>
      <c r="W183" s="74">
        <f>IF(U183=0,'Input data'!$Q$23,U183)</f>
        <v>0</v>
      </c>
      <c r="X183" s="74">
        <f t="shared" si="38"/>
        <v>0</v>
      </c>
      <c r="Y183">
        <f>IF(P182&lt;Param_1,Y182,A184*'Input data'!$B$25*SIN(RADIANS('Input data'!$B$10)))</f>
        <v>0</v>
      </c>
      <c r="Z183">
        <f>IF(P182&lt;Param_1,Z182,A184*'Input data'!$B$25*COS(RADIANS('Input data'!$B$10)))</f>
        <v>62.083333333333186</v>
      </c>
      <c r="AA183">
        <f t="shared" si="36"/>
        <v>14.899999999999963</v>
      </c>
      <c r="AB183">
        <f t="shared" si="37"/>
        <v>5.1999999999999975</v>
      </c>
      <c r="AC183">
        <f>IF(ROUND(A183*10,3)='Input data'!$B$14*10,M183,0)</f>
        <v>0</v>
      </c>
      <c r="AD183">
        <f>IF(ROUND(A183*10,3)='Input data'!$B$14*10,N183,0)</f>
        <v>0</v>
      </c>
      <c r="AE183">
        <f>IF(ROUND(A183*10,3)='Input data'!$B$14*10,P183,0)</f>
        <v>0</v>
      </c>
      <c r="AF183">
        <f>IF('Input data'!$B$26="C",IF((3.14159265*1860/4)*((0.001*'Input data'!$B$20)-(2*'Input data'!$B$28*A183))^2*((0.33333*0.001*'Input data'!$B$20)-(2*'Input data'!$B$28*A183))&lt;0,(3.14159265*1860/4)*((0.001*'Input data'!$B$20)-(2*'Input data'!$B$28*A183))^2*((0.33333*0.001*'Input data'!$B$20)-(2*'Input data'!$B$28*A183)),(3.14159265*1860/4)*((0.001*'Input data'!$B$20)-(2*'Input data'!$B$28*A183))^2*((0.33333*0.001*'Input data'!$B$20)-(2*'Input data'!$B$28*A183))),'Input data'!$B$21)</f>
        <v>0.40680208090393727</v>
      </c>
      <c r="AG183">
        <f t="shared" si="33"/>
        <v>0</v>
      </c>
      <c r="AH183">
        <f t="shared" si="34"/>
        <v>0</v>
      </c>
      <c r="AI183">
        <f t="shared" si="39"/>
        <v>0</v>
      </c>
      <c r="AJ183">
        <f t="shared" si="35"/>
        <v>3000</v>
      </c>
      <c r="AK183">
        <f>IF('Input data'!$B$26="S",'Input data'!$B$22,3.1415*(('Input data'!$B$20*0.0005)-('Input data'!$B$28*A183))^2)</f>
        <v>7.8539816250000026E-3</v>
      </c>
    </row>
    <row r="184" spans="1:37" x14ac:dyDescent="0.2">
      <c r="A184" s="9">
        <f>A183+'Input data'!$B$24</f>
        <v>17.699999999999982</v>
      </c>
      <c r="B184">
        <f>B183+(J183*'Input data'!$B$24)</f>
        <v>5.5732414388475133</v>
      </c>
      <c r="C184">
        <f>C183+(K183*'Input data'!$B$24)</f>
        <v>0</v>
      </c>
      <c r="D184">
        <f>D183+(L183*'Input data'!$B$24)</f>
        <v>-40.291230599275202</v>
      </c>
      <c r="E184">
        <f>IF('Input data'!$B$13=2,'Input data'!$B$25*((0.1036*LN(ABS(P183+1)))+0.8731),IF('Input data'!$B$13=3,'Input data'!$B$25*((0.139*LN(ABS(P183+1)))+0.7503),'Input data'!$B$25))</f>
        <v>5.6301351032067828</v>
      </c>
      <c r="F184">
        <f>E184*COS(RADIANS('Input data'!$B$10))</f>
        <v>5.6301351032067828</v>
      </c>
      <c r="G184">
        <f>E184*SIN(RADIANS('Input data'!$B$10))</f>
        <v>0</v>
      </c>
      <c r="H184">
        <f>1.22*EXP(-0.0001065*(P183+'Input data'!$B$12))</f>
        <v>1.233325864824522</v>
      </c>
      <c r="I184">
        <f t="shared" si="29"/>
        <v>40.291270767909701</v>
      </c>
      <c r="J184">
        <f>-0.5*H184*I184*AK184*'Input data'!$B$19*(B184-F184)/AF184</f>
        <v>1.3759451183751955E-2</v>
      </c>
      <c r="K184">
        <f>-0.5*H184*I184*AK184*'Input data'!$B$19*(C184-G184)/AF184</f>
        <v>0</v>
      </c>
      <c r="L184">
        <f>(-0.5*H184*AK184*I184*'Input data'!$B$19*D184/AF184)-'Input data'!$B$23</f>
        <v>-6.0765263013923487E-2</v>
      </c>
      <c r="M184">
        <f>IF(AF184&gt;0,IF(P183&lt;=Param_1,M183,M183+(B185*'Input data'!$B$24)),M183)</f>
        <v>94.47854469234332</v>
      </c>
      <c r="N184">
        <f>IF(AF184&gt;0,IF(P183&lt;=Param_1,N183,N183+(C185*'Input data'!$B$24)),N183)</f>
        <v>0</v>
      </c>
      <c r="O184">
        <f t="shared" si="28"/>
        <v>0</v>
      </c>
      <c r="P184">
        <f>IF(P183&lt;=-100000,0,IF(AF184&gt;0,IF(P183&lt;Param_1,P183,P183+(D185*'Input data'!$B$24)),P183))</f>
        <v>-102.005790336941</v>
      </c>
      <c r="Q184">
        <f t="shared" si="30"/>
        <v>94.47854469234332</v>
      </c>
      <c r="T184">
        <f t="shared" si="31"/>
        <v>0</v>
      </c>
      <c r="U184">
        <f t="shared" si="32"/>
        <v>0</v>
      </c>
      <c r="V184" s="74">
        <f>IF(X184=0,'Input data'!$Q$22,Q184)</f>
        <v>80.034601194491032</v>
      </c>
      <c r="W184" s="74">
        <f>IF(U184=0,'Input data'!$Q$23,U184)</f>
        <v>0</v>
      </c>
      <c r="X184" s="74">
        <f t="shared" si="38"/>
        <v>0</v>
      </c>
      <c r="Y184">
        <f>IF(P183&lt;Param_1,Y183,A185*'Input data'!$B$25*SIN(RADIANS('Input data'!$B$10)))</f>
        <v>0</v>
      </c>
      <c r="Z184">
        <f>IF(P183&lt;Param_1,Z183,A185*'Input data'!$B$25*COS(RADIANS('Input data'!$B$10)))</f>
        <v>62.083333333333186</v>
      </c>
      <c r="AA184">
        <f t="shared" si="36"/>
        <v>14.899999999999963</v>
      </c>
      <c r="AB184">
        <f t="shared" si="37"/>
        <v>5.1999999999999975</v>
      </c>
      <c r="AC184">
        <f>IF(ROUND(A184*10,3)='Input data'!$B$14*10,M184,0)</f>
        <v>0</v>
      </c>
      <c r="AD184">
        <f>IF(ROUND(A184*10,3)='Input data'!$B$14*10,N184,0)</f>
        <v>0</v>
      </c>
      <c r="AE184">
        <f>IF(ROUND(A184*10,3)='Input data'!$B$14*10,P184,0)</f>
        <v>0</v>
      </c>
      <c r="AF184">
        <f>IF('Input data'!$B$26="C",IF((3.14159265*1860/4)*((0.001*'Input data'!$B$20)-(2*'Input data'!$B$28*A184))^2*((0.33333*0.001*'Input data'!$B$20)-(2*'Input data'!$B$28*A184))&lt;0,(3.14159265*1860/4)*((0.001*'Input data'!$B$20)-(2*'Input data'!$B$28*A184))^2*((0.33333*0.001*'Input data'!$B$20)-(2*'Input data'!$B$28*A184)),(3.14159265*1860/4)*((0.001*'Input data'!$B$20)-(2*'Input data'!$B$28*A184))^2*((0.33333*0.001*'Input data'!$B$20)-(2*'Input data'!$B$28*A184))),'Input data'!$B$21)</f>
        <v>0.40680208090393727</v>
      </c>
      <c r="AG184">
        <f t="shared" si="33"/>
        <v>0</v>
      </c>
      <c r="AH184">
        <f t="shared" si="34"/>
        <v>0</v>
      </c>
      <c r="AI184">
        <f t="shared" si="39"/>
        <v>0</v>
      </c>
      <c r="AJ184">
        <f t="shared" si="35"/>
        <v>3000</v>
      </c>
      <c r="AK184">
        <f>IF('Input data'!$B$26="S",'Input data'!$B$22,3.1415*(('Input data'!$B$20*0.0005)-('Input data'!$B$28*A184))^2)</f>
        <v>7.8539816250000026E-3</v>
      </c>
    </row>
    <row r="185" spans="1:37" x14ac:dyDescent="0.2">
      <c r="A185" s="9">
        <f>A184+'Input data'!$B$24</f>
        <v>17.799999999999983</v>
      </c>
      <c r="B185">
        <f>B184+(J184*'Input data'!$B$24)</f>
        <v>5.5746173839658884</v>
      </c>
      <c r="C185">
        <f>C184+(K184*'Input data'!$B$24)</f>
        <v>0</v>
      </c>
      <c r="D185">
        <f>D184+(L184*'Input data'!$B$24)</f>
        <v>-40.297307125576594</v>
      </c>
      <c r="E185">
        <f>IF('Input data'!$B$13=2,'Input data'!$B$25*((0.1036*LN(ABS(P184+1)))+0.8731),IF('Input data'!$B$13=3,'Input data'!$B$25*((0.139*LN(ABS(P184+1)))+0.7503),'Input data'!$B$25))</f>
        <v>5.6301351032067828</v>
      </c>
      <c r="F185">
        <f>E185*COS(RADIANS('Input data'!$B$10))</f>
        <v>5.6301351032067828</v>
      </c>
      <c r="G185">
        <f>E185*SIN(RADIANS('Input data'!$B$10))</f>
        <v>0</v>
      </c>
      <c r="H185">
        <f>1.22*EXP(-0.0001065*(P184+'Input data'!$B$12))</f>
        <v>1.233325864824522</v>
      </c>
      <c r="I185">
        <f t="shared" si="29"/>
        <v>40.297345369021471</v>
      </c>
      <c r="J185">
        <f>-0.5*H185*I185*AK185*'Input data'!$B$19*(B185-F185)/AF185</f>
        <v>1.3428709969296805E-2</v>
      </c>
      <c r="K185">
        <f>-0.5*H185*I185*AK185*'Input data'!$B$19*(C185-G185)/AF185</f>
        <v>0</v>
      </c>
      <c r="L185">
        <f>(-0.5*H185*AK185*I185*'Input data'!$B$19*D185/AF185)-'Input data'!$B$23</f>
        <v>-5.7826352880137932E-2</v>
      </c>
      <c r="M185">
        <f>IF(AF185&gt;0,IF(P184&lt;=Param_1,M184,M184+(B186*'Input data'!$B$24)),M184)</f>
        <v>94.47854469234332</v>
      </c>
      <c r="N185">
        <f>IF(AF185&gt;0,IF(P184&lt;=Param_1,N184,N184+(C186*'Input data'!$B$24)),N184)</f>
        <v>0</v>
      </c>
      <c r="O185">
        <f t="shared" si="28"/>
        <v>0</v>
      </c>
      <c r="P185">
        <f>IF(P184&lt;=-100000,0,IF(AF185&gt;0,IF(P184&lt;Param_1,P184,P184+(D186*'Input data'!$B$24)),P184))</f>
        <v>-102.005790336941</v>
      </c>
      <c r="Q185">
        <f t="shared" si="30"/>
        <v>94.47854469234332</v>
      </c>
      <c r="T185">
        <f t="shared" si="31"/>
        <v>0</v>
      </c>
      <c r="U185">
        <f t="shared" si="32"/>
        <v>0</v>
      </c>
      <c r="V185" s="74">
        <f>IF(X185=0,'Input data'!$Q$22,Q185)</f>
        <v>80.034601194491032</v>
      </c>
      <c r="W185" s="74">
        <f>IF(U185=0,'Input data'!$Q$23,U185)</f>
        <v>0</v>
      </c>
      <c r="X185" s="74">
        <f t="shared" si="38"/>
        <v>0</v>
      </c>
      <c r="Y185">
        <f>IF(P184&lt;Param_1,Y184,A186*'Input data'!$B$25*SIN(RADIANS('Input data'!$B$10)))</f>
        <v>0</v>
      </c>
      <c r="Z185">
        <f>IF(P184&lt;Param_1,Z184,A186*'Input data'!$B$25*COS(RADIANS('Input data'!$B$10)))</f>
        <v>62.083333333333186</v>
      </c>
      <c r="AA185">
        <f t="shared" si="36"/>
        <v>14.899999999999963</v>
      </c>
      <c r="AB185">
        <f t="shared" si="37"/>
        <v>5.1999999999999975</v>
      </c>
      <c r="AC185">
        <f>IF(ROUND(A185*10,3)='Input data'!$B$14*10,M185,0)</f>
        <v>0</v>
      </c>
      <c r="AD185">
        <f>IF(ROUND(A185*10,3)='Input data'!$B$14*10,N185,0)</f>
        <v>0</v>
      </c>
      <c r="AE185">
        <f>IF(ROUND(A185*10,3)='Input data'!$B$14*10,P185,0)</f>
        <v>0</v>
      </c>
      <c r="AF185">
        <f>IF('Input data'!$B$26="C",IF((3.14159265*1860/4)*((0.001*'Input data'!$B$20)-(2*'Input data'!$B$28*A185))^2*((0.33333*0.001*'Input data'!$B$20)-(2*'Input data'!$B$28*A185))&lt;0,(3.14159265*1860/4)*((0.001*'Input data'!$B$20)-(2*'Input data'!$B$28*A185))^2*((0.33333*0.001*'Input data'!$B$20)-(2*'Input data'!$B$28*A185)),(3.14159265*1860/4)*((0.001*'Input data'!$B$20)-(2*'Input data'!$B$28*A185))^2*((0.33333*0.001*'Input data'!$B$20)-(2*'Input data'!$B$28*A185))),'Input data'!$B$21)</f>
        <v>0.40680208090393727</v>
      </c>
      <c r="AG185">
        <f t="shared" si="33"/>
        <v>0</v>
      </c>
      <c r="AH185">
        <f t="shared" si="34"/>
        <v>0</v>
      </c>
      <c r="AI185">
        <f t="shared" si="39"/>
        <v>0</v>
      </c>
      <c r="AJ185">
        <f t="shared" si="35"/>
        <v>3000</v>
      </c>
      <c r="AK185">
        <f>IF('Input data'!$B$26="S",'Input data'!$B$22,3.1415*(('Input data'!$B$20*0.0005)-('Input data'!$B$28*A185))^2)</f>
        <v>7.8539816250000026E-3</v>
      </c>
    </row>
    <row r="186" spans="1:37" x14ac:dyDescent="0.2">
      <c r="A186" s="9">
        <f>A185+'Input data'!$B$24</f>
        <v>17.899999999999984</v>
      </c>
      <c r="B186">
        <f>B185+(J185*'Input data'!$B$24)</f>
        <v>5.5759602549628182</v>
      </c>
      <c r="C186">
        <f>C185+(K185*'Input data'!$B$24)</f>
        <v>0</v>
      </c>
      <c r="D186">
        <f>D185+(L185*'Input data'!$B$24)</f>
        <v>-40.303089760864609</v>
      </c>
      <c r="E186">
        <f>IF('Input data'!$B$13=2,'Input data'!$B$25*((0.1036*LN(ABS(P185+1)))+0.8731),IF('Input data'!$B$13=3,'Input data'!$B$25*((0.139*LN(ABS(P185+1)))+0.7503),'Input data'!$B$25))</f>
        <v>5.6301351032067828</v>
      </c>
      <c r="F186">
        <f>E186*COS(RADIANS('Input data'!$B$10))</f>
        <v>5.6301351032067828</v>
      </c>
      <c r="G186">
        <f>E186*SIN(RADIANS('Input data'!$B$10))</f>
        <v>0</v>
      </c>
      <c r="H186">
        <f>1.22*EXP(-0.0001065*(P185+'Input data'!$B$12))</f>
        <v>1.233325864824522</v>
      </c>
      <c r="I186">
        <f t="shared" si="29"/>
        <v>40.303126171383923</v>
      </c>
      <c r="J186">
        <f>-0.5*H186*I186*AK186*'Input data'!$B$19*(B186-F186)/AF186</f>
        <v>1.3105774101622876E-2</v>
      </c>
      <c r="K186">
        <f>-0.5*H186*I186*AK186*'Input data'!$B$19*(C186-G186)/AF186</f>
        <v>0</v>
      </c>
      <c r="L186">
        <f>(-0.5*H186*AK186*I186*'Input data'!$B$19*D186/AF186)-'Input data'!$B$23</f>
        <v>-5.502917175376254E-2</v>
      </c>
      <c r="M186">
        <f>IF(AF186&gt;0,IF(P185&lt;=Param_1,M185,M185+(B187*'Input data'!$B$24)),M185)</f>
        <v>94.47854469234332</v>
      </c>
      <c r="N186">
        <f>IF(AF186&gt;0,IF(P185&lt;=Param_1,N185,N185+(C187*'Input data'!$B$24)),N185)</f>
        <v>0</v>
      </c>
      <c r="O186">
        <f t="shared" si="28"/>
        <v>0</v>
      </c>
      <c r="P186">
        <f>IF(P185&lt;=-100000,0,IF(AF186&gt;0,IF(P185&lt;Param_1,P185,P185+(D187*'Input data'!$B$24)),P185))</f>
        <v>-102.005790336941</v>
      </c>
      <c r="Q186">
        <f t="shared" si="30"/>
        <v>94.47854469234332</v>
      </c>
      <c r="T186">
        <f t="shared" si="31"/>
        <v>0</v>
      </c>
      <c r="U186">
        <f t="shared" si="32"/>
        <v>0</v>
      </c>
      <c r="V186" s="74">
        <f>IF(X186=0,'Input data'!$Q$22,Q186)</f>
        <v>80.034601194491032</v>
      </c>
      <c r="W186" s="74">
        <f>IF(U186=0,'Input data'!$Q$23,U186)</f>
        <v>0</v>
      </c>
      <c r="X186" s="74">
        <f t="shared" si="38"/>
        <v>0</v>
      </c>
      <c r="Y186">
        <f>IF(P185&lt;Param_1,Y185,A187*'Input data'!$B$25*SIN(RADIANS('Input data'!$B$10)))</f>
        <v>0</v>
      </c>
      <c r="Z186">
        <f>IF(P185&lt;Param_1,Z185,A187*'Input data'!$B$25*COS(RADIANS('Input data'!$B$10)))</f>
        <v>62.083333333333186</v>
      </c>
      <c r="AA186">
        <f t="shared" si="36"/>
        <v>14.899999999999963</v>
      </c>
      <c r="AB186">
        <f t="shared" si="37"/>
        <v>5.1999999999999975</v>
      </c>
      <c r="AC186">
        <f>IF(ROUND(A186*10,3)='Input data'!$B$14*10,M186,0)</f>
        <v>0</v>
      </c>
      <c r="AD186">
        <f>IF(ROUND(A186*10,3)='Input data'!$B$14*10,N186,0)</f>
        <v>0</v>
      </c>
      <c r="AE186">
        <f>IF(ROUND(A186*10,3)='Input data'!$B$14*10,P186,0)</f>
        <v>0</v>
      </c>
      <c r="AF186">
        <f>IF('Input data'!$B$26="C",IF((3.14159265*1860/4)*((0.001*'Input data'!$B$20)-(2*'Input data'!$B$28*A186))^2*((0.33333*0.001*'Input data'!$B$20)-(2*'Input data'!$B$28*A186))&lt;0,(3.14159265*1860/4)*((0.001*'Input data'!$B$20)-(2*'Input data'!$B$28*A186))^2*((0.33333*0.001*'Input data'!$B$20)-(2*'Input data'!$B$28*A186)),(3.14159265*1860/4)*((0.001*'Input data'!$B$20)-(2*'Input data'!$B$28*A186))^2*((0.33333*0.001*'Input data'!$B$20)-(2*'Input data'!$B$28*A186))),'Input data'!$B$21)</f>
        <v>0.40680208090393727</v>
      </c>
      <c r="AG186">
        <f t="shared" si="33"/>
        <v>0</v>
      </c>
      <c r="AH186">
        <f t="shared" si="34"/>
        <v>0</v>
      </c>
      <c r="AI186">
        <f t="shared" si="39"/>
        <v>0</v>
      </c>
      <c r="AJ186">
        <f t="shared" si="35"/>
        <v>3000</v>
      </c>
      <c r="AK186">
        <f>IF('Input data'!$B$26="S",'Input data'!$B$22,3.1415*(('Input data'!$B$20*0.0005)-('Input data'!$B$28*A186))^2)</f>
        <v>7.8539816250000026E-3</v>
      </c>
    </row>
    <row r="187" spans="1:37" x14ac:dyDescent="0.2">
      <c r="A187" s="9">
        <f>A186+'Input data'!$B$24</f>
        <v>17.999999999999986</v>
      </c>
      <c r="B187">
        <f>B186+(J186*'Input data'!$B$24)</f>
        <v>5.5772708323729807</v>
      </c>
      <c r="C187">
        <f>C186+(K186*'Input data'!$B$24)</f>
        <v>0</v>
      </c>
      <c r="D187">
        <f>D186+(L186*'Input data'!$B$24)</f>
        <v>-40.308592678039986</v>
      </c>
      <c r="E187">
        <f>IF('Input data'!$B$13=2,'Input data'!$B$25*((0.1036*LN(ABS(P186+1)))+0.8731),IF('Input data'!$B$13=3,'Input data'!$B$25*((0.139*LN(ABS(P186+1)))+0.7503),'Input data'!$B$25))</f>
        <v>5.6301351032067828</v>
      </c>
      <c r="F187">
        <f>E187*COS(RADIANS('Input data'!$B$10))</f>
        <v>5.6301351032067828</v>
      </c>
      <c r="G187">
        <f>E187*SIN(RADIANS('Input data'!$B$10))</f>
        <v>0</v>
      </c>
      <c r="H187">
        <f>1.22*EXP(-0.0001065*(P186+'Input data'!$B$12))</f>
        <v>1.233325864824522</v>
      </c>
      <c r="I187">
        <f t="shared" si="29"/>
        <v>40.308627343476601</v>
      </c>
      <c r="J187">
        <f>-0.5*H187*I187*AK187*'Input data'!$B$19*(B187-F187)/AF187</f>
        <v>1.2790469774246227E-2</v>
      </c>
      <c r="K187">
        <f>-0.5*H187*I187*AK187*'Input data'!$B$19*(C187-G187)/AF187</f>
        <v>0</v>
      </c>
      <c r="L187">
        <f>(-0.5*H187*AK187*I187*'Input data'!$B$19*D187/AF187)-'Input data'!$B$23</f>
        <v>-5.2366923649801222E-2</v>
      </c>
      <c r="M187">
        <f>IF(AF187&gt;0,IF(P186&lt;=Param_1,M186,M186+(B188*'Input data'!$B$24)),M186)</f>
        <v>94.47854469234332</v>
      </c>
      <c r="N187">
        <f>IF(AF187&gt;0,IF(P186&lt;=Param_1,N186,N186+(C188*'Input data'!$B$24)),N186)</f>
        <v>0</v>
      </c>
      <c r="O187">
        <f t="shared" si="28"/>
        <v>0</v>
      </c>
      <c r="P187">
        <f>IF(P186&lt;=-100000,0,IF(AF187&gt;0,IF(P186&lt;Param_1,P186,P186+(D188*'Input data'!$B$24)),P186))</f>
        <v>-102.005790336941</v>
      </c>
      <c r="Q187">
        <f t="shared" si="30"/>
        <v>94.47854469234332</v>
      </c>
      <c r="T187">
        <f t="shared" si="31"/>
        <v>0</v>
      </c>
      <c r="U187">
        <f t="shared" si="32"/>
        <v>0</v>
      </c>
      <c r="V187" s="74">
        <f>IF(X187=0,'Input data'!$Q$22,Q187)</f>
        <v>80.034601194491032</v>
      </c>
      <c r="W187" s="74">
        <f>IF(U187=0,'Input data'!$Q$23,U187)</f>
        <v>0</v>
      </c>
      <c r="X187" s="74">
        <f t="shared" si="38"/>
        <v>0</v>
      </c>
      <c r="Y187">
        <f>IF(P186&lt;Param_1,Y186,A188*'Input data'!$B$25*SIN(RADIANS('Input data'!$B$10)))</f>
        <v>0</v>
      </c>
      <c r="Z187">
        <f>IF(P186&lt;Param_1,Z186,A188*'Input data'!$B$25*COS(RADIANS('Input data'!$B$10)))</f>
        <v>62.083333333333186</v>
      </c>
      <c r="AA187">
        <f t="shared" si="36"/>
        <v>14.899999999999963</v>
      </c>
      <c r="AB187">
        <f t="shared" si="37"/>
        <v>5.1999999999999975</v>
      </c>
      <c r="AC187">
        <f>IF(ROUND(A187*10,3)='Input data'!$B$14*10,M187,0)</f>
        <v>0</v>
      </c>
      <c r="AD187">
        <f>IF(ROUND(A187*10,3)='Input data'!$B$14*10,N187,0)</f>
        <v>0</v>
      </c>
      <c r="AE187">
        <f>IF(ROUND(A187*10,3)='Input data'!$B$14*10,P187,0)</f>
        <v>0</v>
      </c>
      <c r="AF187">
        <f>IF('Input data'!$B$26="C",IF((3.14159265*1860/4)*((0.001*'Input data'!$B$20)-(2*'Input data'!$B$28*A187))^2*((0.33333*0.001*'Input data'!$B$20)-(2*'Input data'!$B$28*A187))&lt;0,(3.14159265*1860/4)*((0.001*'Input data'!$B$20)-(2*'Input data'!$B$28*A187))^2*((0.33333*0.001*'Input data'!$B$20)-(2*'Input data'!$B$28*A187)),(3.14159265*1860/4)*((0.001*'Input data'!$B$20)-(2*'Input data'!$B$28*A187))^2*((0.33333*0.001*'Input data'!$B$20)-(2*'Input data'!$B$28*A187))),'Input data'!$B$21)</f>
        <v>0.40680208090393727</v>
      </c>
      <c r="AG187">
        <f t="shared" si="33"/>
        <v>0</v>
      </c>
      <c r="AH187">
        <f t="shared" si="34"/>
        <v>0</v>
      </c>
      <c r="AI187">
        <f t="shared" si="39"/>
        <v>0</v>
      </c>
      <c r="AJ187">
        <f t="shared" si="35"/>
        <v>3000</v>
      </c>
      <c r="AK187">
        <f>IF('Input data'!$B$26="S",'Input data'!$B$22,3.1415*(('Input data'!$B$20*0.0005)-('Input data'!$B$28*A187))^2)</f>
        <v>7.8539816250000026E-3</v>
      </c>
    </row>
    <row r="188" spans="1:37" x14ac:dyDescent="0.2">
      <c r="A188" s="9">
        <f>A187+'Input data'!$B$24</f>
        <v>18.099999999999987</v>
      </c>
      <c r="B188">
        <f>B187+(J187*'Input data'!$B$24)</f>
        <v>5.5785498793504056</v>
      </c>
      <c r="C188">
        <f>C187+(K187*'Input data'!$B$24)</f>
        <v>0</v>
      </c>
      <c r="D188">
        <f>D187+(L187*'Input data'!$B$24)</f>
        <v>-40.313829370404967</v>
      </c>
      <c r="E188">
        <f>IF('Input data'!$B$13=2,'Input data'!$B$25*((0.1036*LN(ABS(P187+1)))+0.8731),IF('Input data'!$B$13=3,'Input data'!$B$25*((0.139*LN(ABS(P187+1)))+0.7503),'Input data'!$B$25))</f>
        <v>5.6301351032067828</v>
      </c>
      <c r="F188">
        <f>E188*COS(RADIANS('Input data'!$B$10))</f>
        <v>5.6301351032067828</v>
      </c>
      <c r="G188">
        <f>E188*SIN(RADIANS('Input data'!$B$10))</f>
        <v>0</v>
      </c>
      <c r="H188">
        <f>1.22*EXP(-0.0001065*(P187+'Input data'!$B$12))</f>
        <v>1.233325864824522</v>
      </c>
      <c r="I188">
        <f t="shared" si="29"/>
        <v>40.313862374392343</v>
      </c>
      <c r="J188">
        <f>-0.5*H188*I188*AK188*'Input data'!$B$19*(B188-F188)/AF188</f>
        <v>1.248262629370764E-2</v>
      </c>
      <c r="K188">
        <f>-0.5*H188*I188*AK188*'Input data'!$B$19*(C188-G188)/AF188</f>
        <v>0</v>
      </c>
      <c r="L188">
        <f>(-0.5*H188*AK188*I188*'Input data'!$B$19*D188/AF188)-'Input data'!$B$23</f>
        <v>-4.9833134772764964E-2</v>
      </c>
      <c r="M188">
        <f>IF(AF188&gt;0,IF(P187&lt;=Param_1,M187,M187+(B189*'Input data'!$B$24)),M187)</f>
        <v>94.47854469234332</v>
      </c>
      <c r="N188">
        <f>IF(AF188&gt;0,IF(P187&lt;=Param_1,N187,N187+(C189*'Input data'!$B$24)),N187)</f>
        <v>0</v>
      </c>
      <c r="O188">
        <f t="shared" si="28"/>
        <v>0</v>
      </c>
      <c r="P188">
        <f>IF(P187&lt;=-100000,0,IF(AF188&gt;0,IF(P187&lt;Param_1,P187,P187+(D189*'Input data'!$B$24)),P187))</f>
        <v>-102.005790336941</v>
      </c>
      <c r="Q188">
        <f t="shared" si="30"/>
        <v>94.47854469234332</v>
      </c>
      <c r="T188">
        <f t="shared" si="31"/>
        <v>0</v>
      </c>
      <c r="U188">
        <f t="shared" si="32"/>
        <v>0</v>
      </c>
      <c r="V188" s="74">
        <f>IF(X188=0,'Input data'!$Q$22,Q188)</f>
        <v>80.034601194491032</v>
      </c>
      <c r="W188" s="74">
        <f>IF(U188=0,'Input data'!$Q$23,U188)</f>
        <v>0</v>
      </c>
      <c r="X188" s="74">
        <f t="shared" si="38"/>
        <v>0</v>
      </c>
      <c r="Y188">
        <f>IF(P187&lt;Param_1,Y187,A189*'Input data'!$B$25*SIN(RADIANS('Input data'!$B$10)))</f>
        <v>0</v>
      </c>
      <c r="Z188">
        <f>IF(P187&lt;Param_1,Z187,A189*'Input data'!$B$25*COS(RADIANS('Input data'!$B$10)))</f>
        <v>62.083333333333186</v>
      </c>
      <c r="AA188">
        <f t="shared" si="36"/>
        <v>14.899999999999963</v>
      </c>
      <c r="AB188">
        <f t="shared" si="37"/>
        <v>5.1999999999999975</v>
      </c>
      <c r="AC188">
        <f>IF(ROUND(A188*10,3)='Input data'!$B$14*10,M188,0)</f>
        <v>0</v>
      </c>
      <c r="AD188">
        <f>IF(ROUND(A188*10,3)='Input data'!$B$14*10,N188,0)</f>
        <v>0</v>
      </c>
      <c r="AE188">
        <f>IF(ROUND(A188*10,3)='Input data'!$B$14*10,P188,0)</f>
        <v>0</v>
      </c>
      <c r="AF188">
        <f>IF('Input data'!$B$26="C",IF((3.14159265*1860/4)*((0.001*'Input data'!$B$20)-(2*'Input data'!$B$28*A188))^2*((0.33333*0.001*'Input data'!$B$20)-(2*'Input data'!$B$28*A188))&lt;0,(3.14159265*1860/4)*((0.001*'Input data'!$B$20)-(2*'Input data'!$B$28*A188))^2*((0.33333*0.001*'Input data'!$B$20)-(2*'Input data'!$B$28*A188)),(3.14159265*1860/4)*((0.001*'Input data'!$B$20)-(2*'Input data'!$B$28*A188))^2*((0.33333*0.001*'Input data'!$B$20)-(2*'Input data'!$B$28*A188))),'Input data'!$B$21)</f>
        <v>0.40680208090393727</v>
      </c>
      <c r="AG188">
        <f t="shared" si="33"/>
        <v>0</v>
      </c>
      <c r="AH188">
        <f t="shared" si="34"/>
        <v>0</v>
      </c>
      <c r="AI188">
        <f t="shared" si="39"/>
        <v>0</v>
      </c>
      <c r="AJ188">
        <f t="shared" si="35"/>
        <v>3000</v>
      </c>
      <c r="AK188">
        <f>IF('Input data'!$B$26="S",'Input data'!$B$22,3.1415*(('Input data'!$B$20*0.0005)-('Input data'!$B$28*A188))^2)</f>
        <v>7.8539816250000026E-3</v>
      </c>
    </row>
    <row r="189" spans="1:37" x14ac:dyDescent="0.2">
      <c r="A189" s="9">
        <f>A188+'Input data'!$B$24</f>
        <v>18.199999999999989</v>
      </c>
      <c r="B189">
        <f>B188+(J188*'Input data'!$B$24)</f>
        <v>5.5797981419797766</v>
      </c>
      <c r="C189">
        <f>C188+(K188*'Input data'!$B$24)</f>
        <v>0</v>
      </c>
      <c r="D189">
        <f>D188+(L188*'Input data'!$B$24)</f>
        <v>-40.318812683882243</v>
      </c>
      <c r="E189">
        <f>IF('Input data'!$B$13=2,'Input data'!$B$25*((0.1036*LN(ABS(P188+1)))+0.8731),IF('Input data'!$B$13=3,'Input data'!$B$25*((0.139*LN(ABS(P188+1)))+0.7503),'Input data'!$B$25))</f>
        <v>5.6301351032067828</v>
      </c>
      <c r="F189">
        <f>E189*COS(RADIANS('Input data'!$B$10))</f>
        <v>5.6301351032067828</v>
      </c>
      <c r="G189">
        <f>E189*SIN(RADIANS('Input data'!$B$10))</f>
        <v>0</v>
      </c>
      <c r="H189">
        <f>1.22*EXP(-0.0001065*(P188+'Input data'!$B$12))</f>
        <v>1.233325864824522</v>
      </c>
      <c r="I189">
        <f t="shared" si="29"/>
        <v>40.318844106046107</v>
      </c>
      <c r="J189">
        <f>-0.5*H189*I189*AK189*'Input data'!$B$19*(B189-F189)/AF189</f>
        <v>1.2182076081919034E-2</v>
      </c>
      <c r="K189">
        <f>-0.5*H189*I189*AK189*'Input data'!$B$19*(C189-G189)/AF189</f>
        <v>0</v>
      </c>
      <c r="L189">
        <f>(-0.5*H189*AK189*I189*'Input data'!$B$19*D189/AF189)-'Input data'!$B$23</f>
        <v>-4.7421638591465864E-2</v>
      </c>
      <c r="M189">
        <f>IF(AF189&gt;0,IF(P188&lt;=Param_1,M188,M188+(B190*'Input data'!$B$24)),M188)</f>
        <v>94.47854469234332</v>
      </c>
      <c r="N189">
        <f>IF(AF189&gt;0,IF(P188&lt;=Param_1,N188,N188+(C190*'Input data'!$B$24)),N188)</f>
        <v>0</v>
      </c>
      <c r="O189">
        <f t="shared" si="28"/>
        <v>0</v>
      </c>
      <c r="P189">
        <f>IF(P188&lt;=-100000,0,IF(AF189&gt;0,IF(P188&lt;Param_1,P188,P188+(D190*'Input data'!$B$24)),P188))</f>
        <v>-102.005790336941</v>
      </c>
      <c r="Q189">
        <f t="shared" si="30"/>
        <v>94.47854469234332</v>
      </c>
      <c r="T189">
        <f t="shared" si="31"/>
        <v>0</v>
      </c>
      <c r="U189">
        <f t="shared" si="32"/>
        <v>0</v>
      </c>
      <c r="V189" s="74">
        <f>IF(X189=0,'Input data'!$Q$22,Q189)</f>
        <v>80.034601194491032</v>
      </c>
      <c r="W189" s="74">
        <f>IF(U189=0,'Input data'!$Q$23,U189)</f>
        <v>0</v>
      </c>
      <c r="X189" s="74">
        <f t="shared" si="38"/>
        <v>0</v>
      </c>
      <c r="Y189">
        <f>IF(P188&lt;Param_1,Y188,A190*'Input data'!$B$25*SIN(RADIANS('Input data'!$B$10)))</f>
        <v>0</v>
      </c>
      <c r="Z189">
        <f>IF(P188&lt;Param_1,Z188,A190*'Input data'!$B$25*COS(RADIANS('Input data'!$B$10)))</f>
        <v>62.083333333333186</v>
      </c>
      <c r="AA189">
        <f t="shared" si="36"/>
        <v>14.899999999999963</v>
      </c>
      <c r="AB189">
        <f t="shared" si="37"/>
        <v>5.1999999999999975</v>
      </c>
      <c r="AC189">
        <f>IF(ROUND(A189*10,3)='Input data'!$B$14*10,M189,0)</f>
        <v>0</v>
      </c>
      <c r="AD189">
        <f>IF(ROUND(A189*10,3)='Input data'!$B$14*10,N189,0)</f>
        <v>0</v>
      </c>
      <c r="AE189">
        <f>IF(ROUND(A189*10,3)='Input data'!$B$14*10,P189,0)</f>
        <v>0</v>
      </c>
      <c r="AF189">
        <f>IF('Input data'!$B$26="C",IF((3.14159265*1860/4)*((0.001*'Input data'!$B$20)-(2*'Input data'!$B$28*A189))^2*((0.33333*0.001*'Input data'!$B$20)-(2*'Input data'!$B$28*A189))&lt;0,(3.14159265*1860/4)*((0.001*'Input data'!$B$20)-(2*'Input data'!$B$28*A189))^2*((0.33333*0.001*'Input data'!$B$20)-(2*'Input data'!$B$28*A189)),(3.14159265*1860/4)*((0.001*'Input data'!$B$20)-(2*'Input data'!$B$28*A189))^2*((0.33333*0.001*'Input data'!$B$20)-(2*'Input data'!$B$28*A189))),'Input data'!$B$21)</f>
        <v>0.40680208090393727</v>
      </c>
      <c r="AG189">
        <f t="shared" si="33"/>
        <v>0</v>
      </c>
      <c r="AH189">
        <f t="shared" si="34"/>
        <v>0</v>
      </c>
      <c r="AI189">
        <f t="shared" si="39"/>
        <v>0</v>
      </c>
      <c r="AJ189">
        <f t="shared" si="35"/>
        <v>3000</v>
      </c>
      <c r="AK189">
        <f>IF('Input data'!$B$26="S",'Input data'!$B$22,3.1415*(('Input data'!$B$20*0.0005)-('Input data'!$B$28*A189))^2)</f>
        <v>7.8539816250000026E-3</v>
      </c>
    </row>
    <row r="190" spans="1:37" x14ac:dyDescent="0.2">
      <c r="A190" s="9">
        <f>A189+'Input data'!$B$24</f>
        <v>18.29999999999999</v>
      </c>
      <c r="B190">
        <f>B189+(J189*'Input data'!$B$24)</f>
        <v>5.5810163495879683</v>
      </c>
      <c r="C190">
        <f>C189+(K189*'Input data'!$B$24)</f>
        <v>0</v>
      </c>
      <c r="D190">
        <f>D189+(L189*'Input data'!$B$24)</f>
        <v>-40.323554847741391</v>
      </c>
      <c r="E190">
        <f>IF('Input data'!$B$13=2,'Input data'!$B$25*((0.1036*LN(ABS(P189+1)))+0.8731),IF('Input data'!$B$13=3,'Input data'!$B$25*((0.139*LN(ABS(P189+1)))+0.7503),'Input data'!$B$25))</f>
        <v>5.6301351032067828</v>
      </c>
      <c r="F190">
        <f>E190*COS(RADIANS('Input data'!$B$10))</f>
        <v>5.6301351032067828</v>
      </c>
      <c r="G190">
        <f>E190*SIN(RADIANS('Input data'!$B$10))</f>
        <v>0</v>
      </c>
      <c r="H190">
        <f>1.22*EXP(-0.0001065*(P189+'Input data'!$B$12))</f>
        <v>1.233325864824522</v>
      </c>
      <c r="I190">
        <f t="shared" si="29"/>
        <v>40.32358476389178</v>
      </c>
      <c r="J190">
        <f>-0.5*H190*I190*AK190*'Input data'!$B$19*(B190-F190)/AF190</f>
        <v>1.188865467300977E-2</v>
      </c>
      <c r="K190">
        <f>-0.5*H190*I190*AK190*'Input data'!$B$19*(C190-G190)/AF190</f>
        <v>0</v>
      </c>
      <c r="L190">
        <f>(-0.5*H190*AK190*I190*'Input data'!$B$19*D190/AF190)-'Input data'!$B$23</f>
        <v>-4.5126561571795065E-2</v>
      </c>
      <c r="M190">
        <f>IF(AF190&gt;0,IF(P189&lt;=Param_1,M189,M189+(B191*'Input data'!$B$24)),M189)</f>
        <v>94.47854469234332</v>
      </c>
      <c r="N190">
        <f>IF(AF190&gt;0,IF(P189&lt;=Param_1,N189,N189+(C191*'Input data'!$B$24)),N189)</f>
        <v>0</v>
      </c>
      <c r="O190">
        <f t="shared" si="28"/>
        <v>0</v>
      </c>
      <c r="P190">
        <f>IF(P189&lt;=-100000,0,IF(AF190&gt;0,IF(P189&lt;Param_1,P189,P189+(D191*'Input data'!$B$24)),P189))</f>
        <v>-102.005790336941</v>
      </c>
      <c r="Q190">
        <f t="shared" si="30"/>
        <v>94.47854469234332</v>
      </c>
      <c r="T190">
        <f t="shared" si="31"/>
        <v>0</v>
      </c>
      <c r="U190">
        <f t="shared" si="32"/>
        <v>0</v>
      </c>
      <c r="V190" s="74">
        <f>IF(X190=0,'Input data'!$Q$22,Q190)</f>
        <v>80.034601194491032</v>
      </c>
      <c r="W190" s="74">
        <f>IF(U190=0,'Input data'!$Q$23,U190)</f>
        <v>0</v>
      </c>
      <c r="X190" s="74">
        <f t="shared" si="38"/>
        <v>0</v>
      </c>
      <c r="Y190">
        <f>IF(P189&lt;Param_1,Y189,A191*'Input data'!$B$25*SIN(RADIANS('Input data'!$B$10)))</f>
        <v>0</v>
      </c>
      <c r="Z190">
        <f>IF(P189&lt;Param_1,Z189,A191*'Input data'!$B$25*COS(RADIANS('Input data'!$B$10)))</f>
        <v>62.083333333333186</v>
      </c>
      <c r="AA190">
        <f t="shared" si="36"/>
        <v>14.899999999999963</v>
      </c>
      <c r="AB190">
        <f t="shared" si="37"/>
        <v>5.1999999999999975</v>
      </c>
      <c r="AC190">
        <f>IF(ROUND(A190*10,3)='Input data'!$B$14*10,M190,0)</f>
        <v>0</v>
      </c>
      <c r="AD190">
        <f>IF(ROUND(A190*10,3)='Input data'!$B$14*10,N190,0)</f>
        <v>0</v>
      </c>
      <c r="AE190">
        <f>IF(ROUND(A190*10,3)='Input data'!$B$14*10,P190,0)</f>
        <v>0</v>
      </c>
      <c r="AF190">
        <f>IF('Input data'!$B$26="C",IF((3.14159265*1860/4)*((0.001*'Input data'!$B$20)-(2*'Input data'!$B$28*A190))^2*((0.33333*0.001*'Input data'!$B$20)-(2*'Input data'!$B$28*A190))&lt;0,(3.14159265*1860/4)*((0.001*'Input data'!$B$20)-(2*'Input data'!$B$28*A190))^2*((0.33333*0.001*'Input data'!$B$20)-(2*'Input data'!$B$28*A190)),(3.14159265*1860/4)*((0.001*'Input data'!$B$20)-(2*'Input data'!$B$28*A190))^2*((0.33333*0.001*'Input data'!$B$20)-(2*'Input data'!$B$28*A190))),'Input data'!$B$21)</f>
        <v>0.40680208090393727</v>
      </c>
      <c r="AG190">
        <f t="shared" si="33"/>
        <v>0</v>
      </c>
      <c r="AH190">
        <f t="shared" si="34"/>
        <v>0</v>
      </c>
      <c r="AI190">
        <f t="shared" si="39"/>
        <v>0</v>
      </c>
      <c r="AJ190">
        <f t="shared" si="35"/>
        <v>3000</v>
      </c>
      <c r="AK190">
        <f>IF('Input data'!$B$26="S",'Input data'!$B$22,3.1415*(('Input data'!$B$20*0.0005)-('Input data'!$B$28*A190))^2)</f>
        <v>7.8539816250000026E-3</v>
      </c>
    </row>
    <row r="191" spans="1:37" x14ac:dyDescent="0.2">
      <c r="A191" s="9">
        <f>A190+'Input data'!$B$24</f>
        <v>18.399999999999991</v>
      </c>
      <c r="B191">
        <f>B190+(J190*'Input data'!$B$24)</f>
        <v>5.5822052150552697</v>
      </c>
      <c r="C191">
        <f>C190+(K190*'Input data'!$B$24)</f>
        <v>0</v>
      </c>
      <c r="D191">
        <f>D190+(L190*'Input data'!$B$24)</f>
        <v>-40.328067503898573</v>
      </c>
      <c r="E191">
        <f>IF('Input data'!$B$13=2,'Input data'!$B$25*((0.1036*LN(ABS(P190+1)))+0.8731),IF('Input data'!$B$13=3,'Input data'!$B$25*((0.139*LN(ABS(P190+1)))+0.7503),'Input data'!$B$25))</f>
        <v>5.6301351032067828</v>
      </c>
      <c r="F191">
        <f>E191*COS(RADIANS('Input data'!$B$10))</f>
        <v>5.6301351032067828</v>
      </c>
      <c r="G191">
        <f>E191*SIN(RADIANS('Input data'!$B$10))</f>
        <v>0</v>
      </c>
      <c r="H191">
        <f>1.22*EXP(-0.0001065*(P190+'Input data'!$B$12))</f>
        <v>1.233325864824522</v>
      </c>
      <c r="I191">
        <f t="shared" si="29"/>
        <v>40.328095986212617</v>
      </c>
      <c r="J191">
        <f>-0.5*H191*I191*AK191*'Input data'!$B$19*(B191-F191)/AF191</f>
        <v>1.1602200705180025E-2</v>
      </c>
      <c r="K191">
        <f>-0.5*H191*I191*AK191*'Input data'!$B$19*(C191-G191)/AF191</f>
        <v>0</v>
      </c>
      <c r="L191">
        <f>(-0.5*H191*AK191*I191*'Input data'!$B$19*D191/AF191)-'Input data'!$B$23</f>
        <v>-4.2942309541805557E-2</v>
      </c>
      <c r="M191">
        <f>IF(AF191&gt;0,IF(P190&lt;=Param_1,M190,M190+(B192*'Input data'!$B$24)),M190)</f>
        <v>94.47854469234332</v>
      </c>
      <c r="N191">
        <f>IF(AF191&gt;0,IF(P190&lt;=Param_1,N190,N190+(C192*'Input data'!$B$24)),N190)</f>
        <v>0</v>
      </c>
      <c r="O191">
        <f t="shared" si="28"/>
        <v>0</v>
      </c>
      <c r="P191">
        <f>IF(P190&lt;=-100000,0,IF(AF191&gt;0,IF(P190&lt;Param_1,P190,P190+(D192*'Input data'!$B$24)),P190))</f>
        <v>-102.005790336941</v>
      </c>
      <c r="Q191">
        <f t="shared" si="30"/>
        <v>94.47854469234332</v>
      </c>
      <c r="T191">
        <f t="shared" si="31"/>
        <v>0</v>
      </c>
      <c r="U191">
        <f t="shared" si="32"/>
        <v>0</v>
      </c>
      <c r="V191" s="74">
        <f>IF(X191=0,'Input data'!$Q$22,Q191)</f>
        <v>80.034601194491032</v>
      </c>
      <c r="W191" s="74">
        <f>IF(U191=0,'Input data'!$Q$23,U191)</f>
        <v>0</v>
      </c>
      <c r="X191" s="74">
        <f t="shared" si="38"/>
        <v>0</v>
      </c>
      <c r="Y191">
        <f>IF(P190&lt;Param_1,Y190,A192*'Input data'!$B$25*SIN(RADIANS('Input data'!$B$10)))</f>
        <v>0</v>
      </c>
      <c r="Z191">
        <f>IF(P190&lt;Param_1,Z190,A192*'Input data'!$B$25*COS(RADIANS('Input data'!$B$10)))</f>
        <v>62.083333333333186</v>
      </c>
      <c r="AA191">
        <f t="shared" si="36"/>
        <v>14.899999999999963</v>
      </c>
      <c r="AB191">
        <f t="shared" si="37"/>
        <v>5.1999999999999975</v>
      </c>
      <c r="AC191">
        <f>IF(ROUND(A191*10,3)='Input data'!$B$14*10,M191,0)</f>
        <v>0</v>
      </c>
      <c r="AD191">
        <f>IF(ROUND(A191*10,3)='Input data'!$B$14*10,N191,0)</f>
        <v>0</v>
      </c>
      <c r="AE191">
        <f>IF(ROUND(A191*10,3)='Input data'!$B$14*10,P191,0)</f>
        <v>0</v>
      </c>
      <c r="AF191">
        <f>IF('Input data'!$B$26="C",IF((3.14159265*1860/4)*((0.001*'Input data'!$B$20)-(2*'Input data'!$B$28*A191))^2*((0.33333*0.001*'Input data'!$B$20)-(2*'Input data'!$B$28*A191))&lt;0,(3.14159265*1860/4)*((0.001*'Input data'!$B$20)-(2*'Input data'!$B$28*A191))^2*((0.33333*0.001*'Input data'!$B$20)-(2*'Input data'!$B$28*A191)),(3.14159265*1860/4)*((0.001*'Input data'!$B$20)-(2*'Input data'!$B$28*A191))^2*((0.33333*0.001*'Input data'!$B$20)-(2*'Input data'!$B$28*A191))),'Input data'!$B$21)</f>
        <v>0.40680208090393727</v>
      </c>
      <c r="AG191">
        <f t="shared" si="33"/>
        <v>0</v>
      </c>
      <c r="AH191">
        <f t="shared" si="34"/>
        <v>0</v>
      </c>
      <c r="AI191">
        <f t="shared" si="39"/>
        <v>0</v>
      </c>
      <c r="AJ191">
        <f t="shared" si="35"/>
        <v>3000</v>
      </c>
      <c r="AK191">
        <f>IF('Input data'!$B$26="S",'Input data'!$B$22,3.1415*(('Input data'!$B$20*0.0005)-('Input data'!$B$28*A191))^2)</f>
        <v>7.8539816250000026E-3</v>
      </c>
    </row>
    <row r="192" spans="1:37" x14ac:dyDescent="0.2">
      <c r="A192" s="9">
        <f>A191+'Input data'!$B$24</f>
        <v>18.499999999999993</v>
      </c>
      <c r="B192">
        <f>B191+(J191*'Input data'!$B$24)</f>
        <v>5.5833654351257875</v>
      </c>
      <c r="C192">
        <f>C191+(K191*'Input data'!$B$24)</f>
        <v>0</v>
      </c>
      <c r="D192">
        <f>D191+(L191*'Input data'!$B$24)</f>
        <v>-40.332361734852753</v>
      </c>
      <c r="E192">
        <f>IF('Input data'!$B$13=2,'Input data'!$B$25*((0.1036*LN(ABS(P191+1)))+0.8731),IF('Input data'!$B$13=3,'Input data'!$B$25*((0.139*LN(ABS(P191+1)))+0.7503),'Input data'!$B$25))</f>
        <v>5.6301351032067828</v>
      </c>
      <c r="F192">
        <f>E192*COS(RADIANS('Input data'!$B$10))</f>
        <v>5.6301351032067828</v>
      </c>
      <c r="G192">
        <f>E192*SIN(RADIANS('Input data'!$B$10))</f>
        <v>0</v>
      </c>
      <c r="H192">
        <f>1.22*EXP(-0.0001065*(P191+'Input data'!$B$12))</f>
        <v>1.233325864824522</v>
      </c>
      <c r="I192">
        <f t="shared" si="29"/>
        <v>40.332388852048759</v>
      </c>
      <c r="J192">
        <f>-0.5*H192*I192*AK192*'Input data'!$B$19*(B192-F192)/AF192</f>
        <v>1.132255590803395E-2</v>
      </c>
      <c r="K192">
        <f>-0.5*H192*I192*AK192*'Input data'!$B$19*(C192-G192)/AF192</f>
        <v>0</v>
      </c>
      <c r="L192">
        <f>(-0.5*H192*AK192*I192*'Input data'!$B$19*D192/AF192)-'Input data'!$B$23</f>
        <v>-4.0863554663873813E-2</v>
      </c>
      <c r="M192">
        <f>IF(AF192&gt;0,IF(P191&lt;=Param_1,M191,M191+(B193*'Input data'!$B$24)),M191)</f>
        <v>94.47854469234332</v>
      </c>
      <c r="N192">
        <f>IF(AF192&gt;0,IF(P191&lt;=Param_1,N191,N191+(C193*'Input data'!$B$24)),N191)</f>
        <v>0</v>
      </c>
      <c r="O192">
        <f t="shared" si="28"/>
        <v>0</v>
      </c>
      <c r="P192">
        <f>IF(P191&lt;=-100000,0,IF(AF192&gt;0,IF(P191&lt;Param_1,P191,P191+(D193*'Input data'!$B$24)),P191))</f>
        <v>-102.005790336941</v>
      </c>
      <c r="Q192">
        <f t="shared" si="30"/>
        <v>94.47854469234332</v>
      </c>
      <c r="T192">
        <f t="shared" si="31"/>
        <v>0</v>
      </c>
      <c r="U192">
        <f t="shared" si="32"/>
        <v>0</v>
      </c>
      <c r="V192" s="74">
        <f>IF(X192=0,'Input data'!$Q$22,Q192)</f>
        <v>80.034601194491032</v>
      </c>
      <c r="W192" s="74">
        <f>IF(U192=0,'Input data'!$Q$23,U192)</f>
        <v>0</v>
      </c>
      <c r="X192" s="74">
        <f t="shared" si="38"/>
        <v>0</v>
      </c>
      <c r="Y192">
        <f>IF(P191&lt;Param_1,Y191,A193*'Input data'!$B$25*SIN(RADIANS('Input data'!$B$10)))</f>
        <v>0</v>
      </c>
      <c r="Z192">
        <f>IF(P191&lt;Param_1,Z191,A193*'Input data'!$B$25*COS(RADIANS('Input data'!$B$10)))</f>
        <v>62.083333333333186</v>
      </c>
      <c r="AA192">
        <f t="shared" si="36"/>
        <v>14.899999999999963</v>
      </c>
      <c r="AB192">
        <f t="shared" si="37"/>
        <v>5.1999999999999975</v>
      </c>
      <c r="AC192">
        <f>IF(ROUND(A192*10,3)='Input data'!$B$14*10,M192,0)</f>
        <v>0</v>
      </c>
      <c r="AD192">
        <f>IF(ROUND(A192*10,3)='Input data'!$B$14*10,N192,0)</f>
        <v>0</v>
      </c>
      <c r="AE192">
        <f>IF(ROUND(A192*10,3)='Input data'!$B$14*10,P192,0)</f>
        <v>0</v>
      </c>
      <c r="AF192">
        <f>IF('Input data'!$B$26="C",IF((3.14159265*1860/4)*((0.001*'Input data'!$B$20)-(2*'Input data'!$B$28*A192))^2*((0.33333*0.001*'Input data'!$B$20)-(2*'Input data'!$B$28*A192))&lt;0,(3.14159265*1860/4)*((0.001*'Input data'!$B$20)-(2*'Input data'!$B$28*A192))^2*((0.33333*0.001*'Input data'!$B$20)-(2*'Input data'!$B$28*A192)),(3.14159265*1860/4)*((0.001*'Input data'!$B$20)-(2*'Input data'!$B$28*A192))^2*((0.33333*0.001*'Input data'!$B$20)-(2*'Input data'!$B$28*A192))),'Input data'!$B$21)</f>
        <v>0.40680208090393727</v>
      </c>
      <c r="AG192">
        <f t="shared" si="33"/>
        <v>0</v>
      </c>
      <c r="AH192">
        <f t="shared" si="34"/>
        <v>0</v>
      </c>
      <c r="AI192">
        <f t="shared" si="39"/>
        <v>0</v>
      </c>
      <c r="AJ192">
        <f t="shared" si="35"/>
        <v>3000</v>
      </c>
      <c r="AK192">
        <f>IF('Input data'!$B$26="S",'Input data'!$B$22,3.1415*(('Input data'!$B$20*0.0005)-('Input data'!$B$28*A192))^2)</f>
        <v>7.8539816250000026E-3</v>
      </c>
    </row>
    <row r="193" spans="1:37" x14ac:dyDescent="0.2">
      <c r="A193" s="9">
        <f>A192+'Input data'!$B$24</f>
        <v>18.599999999999994</v>
      </c>
      <c r="B193">
        <f>B192+(J192*'Input data'!$B$24)</f>
        <v>5.5844976907165913</v>
      </c>
      <c r="C193">
        <f>C192+(K192*'Input data'!$B$24)</f>
        <v>0</v>
      </c>
      <c r="D193">
        <f>D192+(L192*'Input data'!$B$24)</f>
        <v>-40.336448090319138</v>
      </c>
      <c r="E193">
        <f>IF('Input data'!$B$13=2,'Input data'!$B$25*((0.1036*LN(ABS(P192+1)))+0.8731),IF('Input data'!$B$13=3,'Input data'!$B$25*((0.139*LN(ABS(P192+1)))+0.7503),'Input data'!$B$25))</f>
        <v>5.6301351032067828</v>
      </c>
      <c r="F193">
        <f>E193*COS(RADIANS('Input data'!$B$10))</f>
        <v>5.6301351032067828</v>
      </c>
      <c r="G193">
        <f>E193*SIN(RADIANS('Input data'!$B$10))</f>
        <v>0</v>
      </c>
      <c r="H193">
        <f>1.22*EXP(-0.0001065*(P192+'Input data'!$B$12))</f>
        <v>1.233325864824522</v>
      </c>
      <c r="I193">
        <f t="shared" si="29"/>
        <v>40.336473907822302</v>
      </c>
      <c r="J193">
        <f>-0.5*H193*I193*AK193*'Input data'!$B$19*(B193-F193)/AF193</f>
        <v>1.1049565085824763E-2</v>
      </c>
      <c r="K193">
        <f>-0.5*H193*I193*AK193*'Input data'!$B$19*(C193-G193)/AF193</f>
        <v>0</v>
      </c>
      <c r="L193">
        <f>(-0.5*H193*AK193*I193*'Input data'!$B$19*D193/AF193)-'Input data'!$B$23</f>
        <v>-3.8885222989705426E-2</v>
      </c>
      <c r="M193">
        <f>IF(AF193&gt;0,IF(P192&lt;=Param_1,M192,M192+(B194*'Input data'!$B$24)),M192)</f>
        <v>94.47854469234332</v>
      </c>
      <c r="N193">
        <f>IF(AF193&gt;0,IF(P192&lt;=Param_1,N192,N192+(C194*'Input data'!$B$24)),N192)</f>
        <v>0</v>
      </c>
      <c r="O193">
        <f t="shared" si="28"/>
        <v>0</v>
      </c>
      <c r="P193">
        <f>IF(P192&lt;=-100000,0,IF(AF193&gt;0,IF(P192&lt;Param_1,P192,P192+(D194*'Input data'!$B$24)),P192))</f>
        <v>-102.005790336941</v>
      </c>
      <c r="Q193">
        <f t="shared" si="30"/>
        <v>94.47854469234332</v>
      </c>
      <c r="T193">
        <f t="shared" si="31"/>
        <v>0</v>
      </c>
      <c r="U193">
        <f t="shared" si="32"/>
        <v>0</v>
      </c>
      <c r="V193" s="74">
        <f>IF(X193=0,'Input data'!$Q$22,Q193)</f>
        <v>80.034601194491032</v>
      </c>
      <c r="W193" s="74">
        <f>IF(U193=0,'Input data'!$Q$23,U193)</f>
        <v>0</v>
      </c>
      <c r="X193" s="74">
        <f t="shared" si="38"/>
        <v>0</v>
      </c>
      <c r="Y193">
        <f>IF(P192&lt;Param_1,Y192,A194*'Input data'!$B$25*SIN(RADIANS('Input data'!$B$10)))</f>
        <v>0</v>
      </c>
      <c r="Z193">
        <f>IF(P192&lt;Param_1,Z192,A194*'Input data'!$B$25*COS(RADIANS('Input data'!$B$10)))</f>
        <v>62.083333333333186</v>
      </c>
      <c r="AA193">
        <f t="shared" si="36"/>
        <v>14.899999999999963</v>
      </c>
      <c r="AB193">
        <f t="shared" si="37"/>
        <v>5.1999999999999975</v>
      </c>
      <c r="AC193">
        <f>IF(ROUND(A193*10,3)='Input data'!$B$14*10,M193,0)</f>
        <v>0</v>
      </c>
      <c r="AD193">
        <f>IF(ROUND(A193*10,3)='Input data'!$B$14*10,N193,0)</f>
        <v>0</v>
      </c>
      <c r="AE193">
        <f>IF(ROUND(A193*10,3)='Input data'!$B$14*10,P193,0)</f>
        <v>0</v>
      </c>
      <c r="AF193">
        <f>IF('Input data'!$B$26="C",IF((3.14159265*1860/4)*((0.001*'Input data'!$B$20)-(2*'Input data'!$B$28*A193))^2*((0.33333*0.001*'Input data'!$B$20)-(2*'Input data'!$B$28*A193))&lt;0,(3.14159265*1860/4)*((0.001*'Input data'!$B$20)-(2*'Input data'!$B$28*A193))^2*((0.33333*0.001*'Input data'!$B$20)-(2*'Input data'!$B$28*A193)),(3.14159265*1860/4)*((0.001*'Input data'!$B$20)-(2*'Input data'!$B$28*A193))^2*((0.33333*0.001*'Input data'!$B$20)-(2*'Input data'!$B$28*A193))),'Input data'!$B$21)</f>
        <v>0.40680208090393727</v>
      </c>
      <c r="AG193">
        <f t="shared" si="33"/>
        <v>0</v>
      </c>
      <c r="AH193">
        <f t="shared" si="34"/>
        <v>0</v>
      </c>
      <c r="AI193">
        <f t="shared" si="39"/>
        <v>0</v>
      </c>
      <c r="AJ193">
        <f t="shared" si="35"/>
        <v>3000</v>
      </c>
      <c r="AK193">
        <f>IF('Input data'!$B$26="S",'Input data'!$B$22,3.1415*(('Input data'!$B$20*0.0005)-('Input data'!$B$28*A193))^2)</f>
        <v>7.8539816250000026E-3</v>
      </c>
    </row>
    <row r="194" spans="1:37" x14ac:dyDescent="0.2">
      <c r="A194" s="9">
        <f>A193+'Input data'!$B$24</f>
        <v>18.699999999999996</v>
      </c>
      <c r="B194">
        <f>B193+(J193*'Input data'!$B$24)</f>
        <v>5.5856026472251736</v>
      </c>
      <c r="C194">
        <f>C193+(K193*'Input data'!$B$24)</f>
        <v>0</v>
      </c>
      <c r="D194">
        <f>D193+(L193*'Input data'!$B$24)</f>
        <v>-40.34033661261811</v>
      </c>
      <c r="E194">
        <f>IF('Input data'!$B$13=2,'Input data'!$B$25*((0.1036*LN(ABS(P193+1)))+0.8731),IF('Input data'!$B$13=3,'Input data'!$B$25*((0.139*LN(ABS(P193+1)))+0.7503),'Input data'!$B$25))</f>
        <v>5.6301351032067828</v>
      </c>
      <c r="F194">
        <f>E194*COS(RADIANS('Input data'!$B$10))</f>
        <v>5.6301351032067828</v>
      </c>
      <c r="G194">
        <f>E194*SIN(RADIANS('Input data'!$B$10))</f>
        <v>0</v>
      </c>
      <c r="H194">
        <f>1.22*EXP(-0.0001065*(P193+'Input data'!$B$12))</f>
        <v>1.233325864824522</v>
      </c>
      <c r="I194">
        <f t="shared" si="29"/>
        <v>40.340361192718305</v>
      </c>
      <c r="J194">
        <f>-0.5*H194*I194*AK194*'Input data'!$B$19*(B194-F194)/AF194</f>
        <v>1.0783076097019026E-2</v>
      </c>
      <c r="K194">
        <f>-0.5*H194*I194*AK194*'Input data'!$B$19*(C194-G194)/AF194</f>
        <v>0</v>
      </c>
      <c r="L194">
        <f>(-0.5*H194*AK194*I194*'Input data'!$B$19*D194/AF194)-'Input data'!$B$23</f>
        <v>-3.7002482574381546E-2</v>
      </c>
      <c r="M194">
        <f>IF(AF194&gt;0,IF(P193&lt;=Param_1,M193,M193+(B195*'Input data'!$B$24)),M193)</f>
        <v>94.47854469234332</v>
      </c>
      <c r="N194">
        <f>IF(AF194&gt;0,IF(P193&lt;=Param_1,N193,N193+(C195*'Input data'!$B$24)),N193)</f>
        <v>0</v>
      </c>
      <c r="O194">
        <f t="shared" si="28"/>
        <v>0</v>
      </c>
      <c r="P194">
        <f>IF(P193&lt;=-100000,0,IF(AF194&gt;0,IF(P193&lt;Param_1,P193,P193+(D195*'Input data'!$B$24)),P193))</f>
        <v>-102.005790336941</v>
      </c>
      <c r="Q194">
        <f t="shared" si="30"/>
        <v>94.47854469234332</v>
      </c>
      <c r="T194">
        <f t="shared" si="31"/>
        <v>0</v>
      </c>
      <c r="U194">
        <f t="shared" si="32"/>
        <v>0</v>
      </c>
      <c r="V194" s="74">
        <f>IF(X194=0,'Input data'!$Q$22,Q194)</f>
        <v>80.034601194491032</v>
      </c>
      <c r="W194" s="74">
        <f>IF(U194=0,'Input data'!$Q$23,U194)</f>
        <v>0</v>
      </c>
      <c r="X194" s="74">
        <f t="shared" si="38"/>
        <v>0</v>
      </c>
      <c r="Y194">
        <f>IF(P193&lt;Param_1,Y193,A195*'Input data'!$B$25*SIN(RADIANS('Input data'!$B$10)))</f>
        <v>0</v>
      </c>
      <c r="Z194">
        <f>IF(P193&lt;Param_1,Z193,A195*'Input data'!$B$25*COS(RADIANS('Input data'!$B$10)))</f>
        <v>62.083333333333186</v>
      </c>
      <c r="AA194">
        <f t="shared" si="36"/>
        <v>14.899999999999963</v>
      </c>
      <c r="AB194">
        <f t="shared" si="37"/>
        <v>5.1999999999999975</v>
      </c>
      <c r="AC194">
        <f>IF(ROUND(A194*10,3)='Input data'!$B$14*10,M194,0)</f>
        <v>0</v>
      </c>
      <c r="AD194">
        <f>IF(ROUND(A194*10,3)='Input data'!$B$14*10,N194,0)</f>
        <v>0</v>
      </c>
      <c r="AE194">
        <f>IF(ROUND(A194*10,3)='Input data'!$B$14*10,P194,0)</f>
        <v>0</v>
      </c>
      <c r="AF194">
        <f>IF('Input data'!$B$26="C",IF((3.14159265*1860/4)*((0.001*'Input data'!$B$20)-(2*'Input data'!$B$28*A194))^2*((0.33333*0.001*'Input data'!$B$20)-(2*'Input data'!$B$28*A194))&lt;0,(3.14159265*1860/4)*((0.001*'Input data'!$B$20)-(2*'Input data'!$B$28*A194))^2*((0.33333*0.001*'Input data'!$B$20)-(2*'Input data'!$B$28*A194)),(3.14159265*1860/4)*((0.001*'Input data'!$B$20)-(2*'Input data'!$B$28*A194))^2*((0.33333*0.001*'Input data'!$B$20)-(2*'Input data'!$B$28*A194))),'Input data'!$B$21)</f>
        <v>0.40680208090393727</v>
      </c>
      <c r="AG194">
        <f t="shared" si="33"/>
        <v>0</v>
      </c>
      <c r="AH194">
        <f t="shared" si="34"/>
        <v>0</v>
      </c>
      <c r="AI194">
        <f t="shared" si="39"/>
        <v>0</v>
      </c>
      <c r="AJ194">
        <f t="shared" si="35"/>
        <v>3000</v>
      </c>
      <c r="AK194">
        <f>IF('Input data'!$B$26="S",'Input data'!$B$22,3.1415*(('Input data'!$B$20*0.0005)-('Input data'!$B$28*A194))^2)</f>
        <v>7.8539816250000026E-3</v>
      </c>
    </row>
    <row r="195" spans="1:37" x14ac:dyDescent="0.2">
      <c r="A195" s="9">
        <f>A194+'Input data'!$B$24</f>
        <v>18.799999999999997</v>
      </c>
      <c r="B195">
        <f>B194+(J194*'Input data'!$B$24)</f>
        <v>5.5866809548348755</v>
      </c>
      <c r="C195">
        <f>C194+(K194*'Input data'!$B$24)</f>
        <v>0</v>
      </c>
      <c r="D195">
        <f>D194+(L194*'Input data'!$B$24)</f>
        <v>-40.344036860875548</v>
      </c>
      <c r="E195">
        <f>IF('Input data'!$B$13=2,'Input data'!$B$25*((0.1036*LN(ABS(P194+1)))+0.8731),IF('Input data'!$B$13=3,'Input data'!$B$25*((0.139*LN(ABS(P194+1)))+0.7503),'Input data'!$B$25))</f>
        <v>5.6301351032067828</v>
      </c>
      <c r="F195">
        <f>E195*COS(RADIANS('Input data'!$B$10))</f>
        <v>5.6301351032067828</v>
      </c>
      <c r="G195">
        <f>E195*SIN(RADIANS('Input data'!$B$10))</f>
        <v>0</v>
      </c>
      <c r="H195">
        <f>1.22*EXP(-0.0001065*(P194+'Input data'!$B$12))</f>
        <v>1.233325864824522</v>
      </c>
      <c r="I195">
        <f t="shared" si="29"/>
        <v>40.344060262877555</v>
      </c>
      <c r="J195">
        <f>-0.5*H195*I195*AK195*'Input data'!$B$19*(B195-F195)/AF195</f>
        <v>1.0522939830548833E-2</v>
      </c>
      <c r="K195">
        <f>-0.5*H195*I195*AK195*'Input data'!$B$19*(C195-G195)/AF195</f>
        <v>0</v>
      </c>
      <c r="L195">
        <f>(-0.5*H195*AK195*I195*'Input data'!$B$19*D195/AF195)-'Input data'!$B$23</f>
        <v>-3.5210732126618183E-2</v>
      </c>
      <c r="M195">
        <f>IF(AF195&gt;0,IF(P194&lt;=Param_1,M194,M194+(B196*'Input data'!$B$24)),M194)</f>
        <v>94.47854469234332</v>
      </c>
      <c r="N195">
        <f>IF(AF195&gt;0,IF(P194&lt;=Param_1,N194,N194+(C196*'Input data'!$B$24)),N194)</f>
        <v>0</v>
      </c>
      <c r="O195">
        <f t="shared" si="28"/>
        <v>0</v>
      </c>
      <c r="P195">
        <f>IF(P194&lt;=-100000,0,IF(AF195&gt;0,IF(P194&lt;Param_1,P194,P194+(D196*'Input data'!$B$24)),P194))</f>
        <v>-102.005790336941</v>
      </c>
      <c r="Q195">
        <f t="shared" si="30"/>
        <v>94.47854469234332</v>
      </c>
      <c r="T195">
        <f t="shared" si="31"/>
        <v>0</v>
      </c>
      <c r="U195">
        <f t="shared" si="32"/>
        <v>0</v>
      </c>
      <c r="V195" s="74">
        <f>IF(X195=0,'Input data'!$Q$22,Q195)</f>
        <v>80.034601194491032</v>
      </c>
      <c r="W195" s="74">
        <f>IF(U195=0,'Input data'!$Q$23,U195)</f>
        <v>0</v>
      </c>
      <c r="X195" s="74">
        <f t="shared" si="38"/>
        <v>0</v>
      </c>
      <c r="Y195">
        <f>IF(P194&lt;Param_1,Y194,A196*'Input data'!$B$25*SIN(RADIANS('Input data'!$B$10)))</f>
        <v>0</v>
      </c>
      <c r="Z195">
        <f>IF(P194&lt;Param_1,Z194,A196*'Input data'!$B$25*COS(RADIANS('Input data'!$B$10)))</f>
        <v>62.083333333333186</v>
      </c>
      <c r="AA195">
        <f t="shared" si="36"/>
        <v>14.899999999999963</v>
      </c>
      <c r="AB195">
        <f t="shared" si="37"/>
        <v>5.1999999999999975</v>
      </c>
      <c r="AC195">
        <f>IF(ROUND(A195*10,3)='Input data'!$B$14*10,M195,0)</f>
        <v>0</v>
      </c>
      <c r="AD195">
        <f>IF(ROUND(A195*10,3)='Input data'!$B$14*10,N195,0)</f>
        <v>0</v>
      </c>
      <c r="AE195">
        <f>IF(ROUND(A195*10,3)='Input data'!$B$14*10,P195,0)</f>
        <v>0</v>
      </c>
      <c r="AF195">
        <f>IF('Input data'!$B$26="C",IF((3.14159265*1860/4)*((0.001*'Input data'!$B$20)-(2*'Input data'!$B$28*A195))^2*((0.33333*0.001*'Input data'!$B$20)-(2*'Input data'!$B$28*A195))&lt;0,(3.14159265*1860/4)*((0.001*'Input data'!$B$20)-(2*'Input data'!$B$28*A195))^2*((0.33333*0.001*'Input data'!$B$20)-(2*'Input data'!$B$28*A195)),(3.14159265*1860/4)*((0.001*'Input data'!$B$20)-(2*'Input data'!$B$28*A195))^2*((0.33333*0.001*'Input data'!$B$20)-(2*'Input data'!$B$28*A195))),'Input data'!$B$21)</f>
        <v>0.40680208090393727</v>
      </c>
      <c r="AG195">
        <f t="shared" si="33"/>
        <v>0</v>
      </c>
      <c r="AH195">
        <f t="shared" si="34"/>
        <v>0</v>
      </c>
      <c r="AI195">
        <f t="shared" ref="AI195:AI226" si="40">IF(AF195&lt;=0,P195,0)</f>
        <v>0</v>
      </c>
      <c r="AJ195">
        <f t="shared" si="35"/>
        <v>3000</v>
      </c>
      <c r="AK195">
        <f>IF('Input data'!$B$26="S",'Input data'!$B$22,3.1415*(('Input data'!$B$20*0.0005)-('Input data'!$B$28*A195))^2)</f>
        <v>7.8539816250000026E-3</v>
      </c>
    </row>
    <row r="196" spans="1:37" x14ac:dyDescent="0.2">
      <c r="A196" s="9">
        <f>A195+'Input data'!$B$24</f>
        <v>18.899999999999999</v>
      </c>
      <c r="B196">
        <f>B195+(J195*'Input data'!$B$24)</f>
        <v>5.5877332488179308</v>
      </c>
      <c r="C196">
        <f>C195+(K195*'Input data'!$B$24)</f>
        <v>0</v>
      </c>
      <c r="D196">
        <f>D195+(L195*'Input data'!$B$24)</f>
        <v>-40.347557934088208</v>
      </c>
      <c r="E196">
        <f>IF('Input data'!$B$13=2,'Input data'!$B$25*((0.1036*LN(ABS(P195+1)))+0.8731),IF('Input data'!$B$13=3,'Input data'!$B$25*((0.139*LN(ABS(P195+1)))+0.7503),'Input data'!$B$25))</f>
        <v>5.6301351032067828</v>
      </c>
      <c r="F196">
        <f>E196*COS(RADIANS('Input data'!$B$10))</f>
        <v>5.6301351032067828</v>
      </c>
      <c r="G196">
        <f>E196*SIN(RADIANS('Input data'!$B$10))</f>
        <v>0</v>
      </c>
      <c r="H196">
        <f>1.22*EXP(-0.0001065*(P195+'Input data'!$B$12))</f>
        <v>1.233325864824522</v>
      </c>
      <c r="I196">
        <f t="shared" si="29"/>
        <v>40.347580214454744</v>
      </c>
      <c r="J196">
        <f>-0.5*H196*I196*AK196*'Input data'!$B$19*(B196-F196)/AF196</f>
        <v>1.0269010179099784E-2</v>
      </c>
      <c r="K196">
        <f>-0.5*H196*I196*AK196*'Input data'!$B$19*(C196-G196)/AF196</f>
        <v>0</v>
      </c>
      <c r="L196">
        <f>(-0.5*H196*AK196*I196*'Input data'!$B$19*D196/AF196)-'Input data'!$B$23</f>
        <v>-3.3505590172902444E-2</v>
      </c>
      <c r="M196">
        <f>IF(AF196&gt;0,IF(P195&lt;=Param_1,M195,M195+(B197*'Input data'!$B$24)),M195)</f>
        <v>94.47854469234332</v>
      </c>
      <c r="N196">
        <f>IF(AF196&gt;0,IF(P195&lt;=Param_1,N195,N195+(C197*'Input data'!$B$24)),N195)</f>
        <v>0</v>
      </c>
      <c r="O196">
        <f t="shared" si="28"/>
        <v>0</v>
      </c>
      <c r="P196">
        <f>IF(P195&lt;=-100000,0,IF(AF196&gt;0,IF(P195&lt;Param_1,P195,P195+(D197*'Input data'!$B$24)),P195))</f>
        <v>-102.005790336941</v>
      </c>
      <c r="Q196">
        <f t="shared" si="30"/>
        <v>94.47854469234332</v>
      </c>
      <c r="T196">
        <f t="shared" si="31"/>
        <v>0</v>
      </c>
      <c r="U196">
        <f t="shared" si="32"/>
        <v>0</v>
      </c>
      <c r="V196" s="74">
        <f>IF(X196=0,'Input data'!$Q$22,Q196)</f>
        <v>80.034601194491032</v>
      </c>
      <c r="W196" s="74">
        <f>IF(U196=0,'Input data'!$Q$23,U196)</f>
        <v>0</v>
      </c>
      <c r="X196" s="74">
        <f t="shared" si="38"/>
        <v>0</v>
      </c>
      <c r="Y196">
        <f>IF(P195&lt;Param_1,Y195,A197*'Input data'!$B$25*SIN(RADIANS('Input data'!$B$10)))</f>
        <v>0</v>
      </c>
      <c r="Z196">
        <f>IF(P195&lt;Param_1,Z195,A197*'Input data'!$B$25*COS(RADIANS('Input data'!$B$10)))</f>
        <v>62.083333333333186</v>
      </c>
      <c r="AA196">
        <f t="shared" si="36"/>
        <v>14.899999999999963</v>
      </c>
      <c r="AB196">
        <f t="shared" si="37"/>
        <v>5.1999999999999975</v>
      </c>
      <c r="AC196">
        <f>IF(ROUND(A196*10,3)='Input data'!$B$14*10,M196,0)</f>
        <v>0</v>
      </c>
      <c r="AD196">
        <f>IF(ROUND(A196*10,3)='Input data'!$B$14*10,N196,0)</f>
        <v>0</v>
      </c>
      <c r="AE196">
        <f>IF(ROUND(A196*10,3)='Input data'!$B$14*10,P196,0)</f>
        <v>0</v>
      </c>
      <c r="AF196">
        <f>IF('Input data'!$B$26="C",IF((3.14159265*1860/4)*((0.001*'Input data'!$B$20)-(2*'Input data'!$B$28*A196))^2*((0.33333*0.001*'Input data'!$B$20)-(2*'Input data'!$B$28*A196))&lt;0,(3.14159265*1860/4)*((0.001*'Input data'!$B$20)-(2*'Input data'!$B$28*A196))^2*((0.33333*0.001*'Input data'!$B$20)-(2*'Input data'!$B$28*A196)),(3.14159265*1860/4)*((0.001*'Input data'!$B$20)-(2*'Input data'!$B$28*A196))^2*((0.33333*0.001*'Input data'!$B$20)-(2*'Input data'!$B$28*A196))),'Input data'!$B$21)</f>
        <v>0.40680208090393727</v>
      </c>
      <c r="AG196">
        <f t="shared" si="33"/>
        <v>0</v>
      </c>
      <c r="AH196">
        <f t="shared" si="34"/>
        <v>0</v>
      </c>
      <c r="AI196">
        <f t="shared" si="40"/>
        <v>0</v>
      </c>
      <c r="AJ196">
        <f t="shared" si="35"/>
        <v>3000</v>
      </c>
      <c r="AK196">
        <f>IF('Input data'!$B$26="S",'Input data'!$B$22,3.1415*(('Input data'!$B$20*0.0005)-('Input data'!$B$28*A196))^2)</f>
        <v>7.8539816250000026E-3</v>
      </c>
    </row>
    <row r="197" spans="1:37" x14ac:dyDescent="0.2">
      <c r="A197" s="9">
        <f>A196+'Input data'!$B$24</f>
        <v>19</v>
      </c>
      <c r="B197">
        <f>B196+(J196*'Input data'!$B$24)</f>
        <v>5.5887601498358404</v>
      </c>
      <c r="C197">
        <f>C196+(K196*'Input data'!$B$24)</f>
        <v>0</v>
      </c>
      <c r="D197">
        <f>D196+(L196*'Input data'!$B$24)</f>
        <v>-40.3509084931055</v>
      </c>
      <c r="E197">
        <f>IF('Input data'!$B$13=2,'Input data'!$B$25*((0.1036*LN(ABS(P196+1)))+0.8731),IF('Input data'!$B$13=3,'Input data'!$B$25*((0.139*LN(ABS(P196+1)))+0.7503),'Input data'!$B$25))</f>
        <v>5.6301351032067828</v>
      </c>
      <c r="F197">
        <f>E197*COS(RADIANS('Input data'!$B$10))</f>
        <v>5.6301351032067828</v>
      </c>
      <c r="G197">
        <f>E197*SIN(RADIANS('Input data'!$B$10))</f>
        <v>0</v>
      </c>
      <c r="H197">
        <f>1.22*EXP(-0.0001065*(P196+'Input data'!$B$12))</f>
        <v>1.233325864824522</v>
      </c>
      <c r="I197">
        <f t="shared" si="29"/>
        <v>40.350929705593401</v>
      </c>
      <c r="J197">
        <f>-0.5*H197*I197*AK197*'Input data'!$B$19*(B197-F197)/AF197</f>
        <v>1.0021144009751466E-2</v>
      </c>
      <c r="K197">
        <f>-0.5*H197*I197*AK197*'Input data'!$B$19*(C197-G197)/AF197</f>
        <v>0</v>
      </c>
      <c r="L197">
        <f>(-0.5*H197*AK197*I197*'Input data'!$B$19*D197/AF197)-'Input data'!$B$23</f>
        <v>-3.1882884714097059E-2</v>
      </c>
      <c r="M197">
        <f>IF(AF197&gt;0,IF(P196&lt;=Param_1,M196,M196+(B198*'Input data'!$B$24)),M196)</f>
        <v>94.47854469234332</v>
      </c>
      <c r="N197">
        <f>IF(AF197&gt;0,IF(P196&lt;=Param_1,N196,N196+(C198*'Input data'!$B$24)),N196)</f>
        <v>0</v>
      </c>
      <c r="O197">
        <f t="shared" si="28"/>
        <v>0</v>
      </c>
      <c r="P197">
        <f>IF(P196&lt;=-100000,0,IF(AF197&gt;0,IF(P196&lt;Param_1,P196,P196+(D198*'Input data'!$B$24)),P196))</f>
        <v>-102.005790336941</v>
      </c>
      <c r="Q197">
        <f t="shared" si="30"/>
        <v>94.47854469234332</v>
      </c>
      <c r="T197">
        <f t="shared" si="31"/>
        <v>0</v>
      </c>
      <c r="U197">
        <f t="shared" si="32"/>
        <v>0</v>
      </c>
      <c r="V197" s="74">
        <f>IF(X197=0,'Input data'!$Q$22,Q197)</f>
        <v>80.034601194491032</v>
      </c>
      <c r="W197" s="74">
        <f>IF(U197=0,'Input data'!$Q$23,U197)</f>
        <v>0</v>
      </c>
      <c r="X197" s="74">
        <f t="shared" si="38"/>
        <v>0</v>
      </c>
      <c r="Y197">
        <f>IF(P196&lt;Param_1,Y196,A198*'Input data'!$B$25*SIN(RADIANS('Input data'!$B$10)))</f>
        <v>0</v>
      </c>
      <c r="Z197">
        <f>IF(P196&lt;Param_1,Z196,A198*'Input data'!$B$25*COS(RADIANS('Input data'!$B$10)))</f>
        <v>62.083333333333186</v>
      </c>
      <c r="AA197">
        <f t="shared" si="36"/>
        <v>14.899999999999963</v>
      </c>
      <c r="AB197">
        <f t="shared" si="37"/>
        <v>5.1999999999999975</v>
      </c>
      <c r="AC197">
        <f>IF(ROUND(A197*10,3)='Input data'!$B$14*10,M197,0)</f>
        <v>0</v>
      </c>
      <c r="AD197">
        <f>IF(ROUND(A197*10,3)='Input data'!$B$14*10,N197,0)</f>
        <v>0</v>
      </c>
      <c r="AE197">
        <f>IF(ROUND(A197*10,3)='Input data'!$B$14*10,P197,0)</f>
        <v>0</v>
      </c>
      <c r="AF197">
        <f>IF('Input data'!$B$26="C",IF((3.14159265*1860/4)*((0.001*'Input data'!$B$20)-(2*'Input data'!$B$28*A197))^2*((0.33333*0.001*'Input data'!$B$20)-(2*'Input data'!$B$28*A197))&lt;0,(3.14159265*1860/4)*((0.001*'Input data'!$B$20)-(2*'Input data'!$B$28*A197))^2*((0.33333*0.001*'Input data'!$B$20)-(2*'Input data'!$B$28*A197)),(3.14159265*1860/4)*((0.001*'Input data'!$B$20)-(2*'Input data'!$B$28*A197))^2*((0.33333*0.001*'Input data'!$B$20)-(2*'Input data'!$B$28*A197))),'Input data'!$B$21)</f>
        <v>0.40680208090393727</v>
      </c>
      <c r="AG197">
        <f t="shared" si="33"/>
        <v>0</v>
      </c>
      <c r="AH197">
        <f t="shared" si="34"/>
        <v>0</v>
      </c>
      <c r="AI197">
        <f t="shared" si="40"/>
        <v>0</v>
      </c>
      <c r="AJ197">
        <f t="shared" si="35"/>
        <v>3000</v>
      </c>
      <c r="AK197">
        <f>IF('Input data'!$B$26="S",'Input data'!$B$22,3.1415*(('Input data'!$B$20*0.0005)-('Input data'!$B$28*A197))^2)</f>
        <v>7.8539816250000026E-3</v>
      </c>
    </row>
    <row r="198" spans="1:37" x14ac:dyDescent="0.2">
      <c r="A198" s="9">
        <f>A197+'Input data'!$B$24</f>
        <v>19.100000000000001</v>
      </c>
      <c r="B198">
        <f>B197+(J197*'Input data'!$B$24)</f>
        <v>5.5897622642368159</v>
      </c>
      <c r="C198">
        <f>C197+(K197*'Input data'!$B$24)</f>
        <v>0</v>
      </c>
      <c r="D198">
        <f>D197+(L197*'Input data'!$B$24)</f>
        <v>-40.354096781576906</v>
      </c>
      <c r="E198">
        <f>IF('Input data'!$B$13=2,'Input data'!$B$25*((0.1036*LN(ABS(P197+1)))+0.8731),IF('Input data'!$B$13=3,'Input data'!$B$25*((0.139*LN(ABS(P197+1)))+0.7503),'Input data'!$B$25))</f>
        <v>5.6301351032067828</v>
      </c>
      <c r="F198">
        <f>E198*COS(RADIANS('Input data'!$B$10))</f>
        <v>5.6301351032067828</v>
      </c>
      <c r="G198">
        <f>E198*SIN(RADIANS('Input data'!$B$10))</f>
        <v>0</v>
      </c>
      <c r="H198">
        <f>1.22*EXP(-0.0001065*(P197+'Input data'!$B$12))</f>
        <v>1.233325864824522</v>
      </c>
      <c r="I198">
        <f t="shared" si="29"/>
        <v>40.354116977366786</v>
      </c>
      <c r="J198">
        <f>-0.5*H198*I198*AK198*'Input data'!$B$19*(B198-F198)/AF198</f>
        <v>9.77920113226282E-3</v>
      </c>
      <c r="K198">
        <f>-0.5*H198*I198*AK198*'Input data'!$B$19*(C198-G198)/AF198</f>
        <v>0</v>
      </c>
      <c r="L198">
        <f>(-0.5*H198*AK198*I198*'Input data'!$B$19*D198/AF198)-'Input data'!$B$23</f>
        <v>-3.0338643353676531E-2</v>
      </c>
      <c r="M198">
        <f>IF(AF198&gt;0,IF(P197&lt;=Param_1,M197,M197+(B199*'Input data'!$B$24)),M197)</f>
        <v>94.47854469234332</v>
      </c>
      <c r="N198">
        <f>IF(AF198&gt;0,IF(P197&lt;=Param_1,N197,N197+(C199*'Input data'!$B$24)),N197)</f>
        <v>0</v>
      </c>
      <c r="O198">
        <f t="shared" ref="O198:O235" si="41">ABS(N198)</f>
        <v>0</v>
      </c>
      <c r="P198">
        <f>IF(P197&lt;=-100000,0,IF(AF198&gt;0,IF(P197&lt;Param_1,P197,P197+(D199*'Input data'!$B$24)),P197))</f>
        <v>-102.005790336941</v>
      </c>
      <c r="Q198">
        <f t="shared" si="30"/>
        <v>94.47854469234332</v>
      </c>
      <c r="T198">
        <f t="shared" si="31"/>
        <v>0</v>
      </c>
      <c r="U198">
        <f t="shared" si="32"/>
        <v>0</v>
      </c>
      <c r="V198" s="74">
        <f>IF(X198=0,'Input data'!$Q$22,Q198)</f>
        <v>80.034601194491032</v>
      </c>
      <c r="W198" s="74">
        <f>IF(U198=0,'Input data'!$Q$23,U198)</f>
        <v>0</v>
      </c>
      <c r="X198" s="74">
        <f t="shared" si="38"/>
        <v>0</v>
      </c>
      <c r="Y198">
        <f>IF(P197&lt;Param_1,Y197,A199*'Input data'!$B$25*SIN(RADIANS('Input data'!$B$10)))</f>
        <v>0</v>
      </c>
      <c r="Z198">
        <f>IF(P197&lt;Param_1,Z197,A199*'Input data'!$B$25*COS(RADIANS('Input data'!$B$10)))</f>
        <v>62.083333333333186</v>
      </c>
      <c r="AA198">
        <f t="shared" si="36"/>
        <v>14.899999999999963</v>
      </c>
      <c r="AB198">
        <f t="shared" si="37"/>
        <v>5.1999999999999975</v>
      </c>
      <c r="AC198">
        <f>IF(ROUND(A198*10,3)='Input data'!$B$14*10,M198,0)</f>
        <v>0</v>
      </c>
      <c r="AD198">
        <f>IF(ROUND(A198*10,3)='Input data'!$B$14*10,N198,0)</f>
        <v>0</v>
      </c>
      <c r="AE198">
        <f>IF(ROUND(A198*10,3)='Input data'!$B$14*10,P198,0)</f>
        <v>0</v>
      </c>
      <c r="AF198">
        <f>IF('Input data'!$B$26="C",IF((3.14159265*1860/4)*((0.001*'Input data'!$B$20)-(2*'Input data'!$B$28*A198))^2*((0.33333*0.001*'Input data'!$B$20)-(2*'Input data'!$B$28*A198))&lt;0,(3.14159265*1860/4)*((0.001*'Input data'!$B$20)-(2*'Input data'!$B$28*A198))^2*((0.33333*0.001*'Input data'!$B$20)-(2*'Input data'!$B$28*A198)),(3.14159265*1860/4)*((0.001*'Input data'!$B$20)-(2*'Input data'!$B$28*A198))^2*((0.33333*0.001*'Input data'!$B$20)-(2*'Input data'!$B$28*A198))),'Input data'!$B$21)</f>
        <v>0.40680208090393727</v>
      </c>
      <c r="AG198">
        <f t="shared" si="33"/>
        <v>0</v>
      </c>
      <c r="AH198">
        <f t="shared" si="34"/>
        <v>0</v>
      </c>
      <c r="AI198">
        <f t="shared" si="40"/>
        <v>0</v>
      </c>
      <c r="AJ198">
        <f t="shared" si="35"/>
        <v>3000</v>
      </c>
      <c r="AK198">
        <f>IF('Input data'!$B$26="S",'Input data'!$B$22,3.1415*(('Input data'!$B$20*0.0005)-('Input data'!$B$28*A198))^2)</f>
        <v>7.8539816250000026E-3</v>
      </c>
    </row>
    <row r="199" spans="1:37" x14ac:dyDescent="0.2">
      <c r="A199" s="9">
        <f>A198+'Input data'!$B$24</f>
        <v>19.200000000000003</v>
      </c>
      <c r="B199">
        <f>B198+(J198*'Input data'!$B$24)</f>
        <v>5.5907401843500422</v>
      </c>
      <c r="C199">
        <f>C198+(K198*'Input data'!$B$24)</f>
        <v>0</v>
      </c>
      <c r="D199">
        <f>D198+(L198*'Input data'!$B$24)</f>
        <v>-40.357130645912271</v>
      </c>
      <c r="E199">
        <f>IF('Input data'!$B$13=2,'Input data'!$B$25*((0.1036*LN(ABS(P198+1)))+0.8731),IF('Input data'!$B$13=3,'Input data'!$B$25*((0.139*LN(ABS(P198+1)))+0.7503),'Input data'!$B$25))</f>
        <v>5.6301351032067828</v>
      </c>
      <c r="F199">
        <f>E199*COS(RADIANS('Input data'!$B$10))</f>
        <v>5.6301351032067828</v>
      </c>
      <c r="G199">
        <f>E199*SIN(RADIANS('Input data'!$B$10))</f>
        <v>0</v>
      </c>
      <c r="H199">
        <f>1.22*EXP(-0.0001065*(P198+'Input data'!$B$12))</f>
        <v>1.233325864824522</v>
      </c>
      <c r="I199">
        <f t="shared" ref="I199:I235" si="42">SQRT(((B199-F199)^2)+((C199-G199)^2)+(D199^2))</f>
        <v>40.357149873731956</v>
      </c>
      <c r="J199">
        <f>-0.5*H199*I199*AK199*'Input data'!$B$19*(B199-F199)/AF199</f>
        <v>9.5430442652772139E-3</v>
      </c>
      <c r="K199">
        <f>-0.5*H199*I199*AK199*'Input data'!$B$19*(C199-G199)/AF199</f>
        <v>0</v>
      </c>
      <c r="L199">
        <f>(-0.5*H199*AK199*I199*'Input data'!$B$19*D199/AF199)-'Input data'!$B$23</f>
        <v>-2.8869083877571811E-2</v>
      </c>
      <c r="M199">
        <f>IF(AF199&gt;0,IF(P198&lt;=Param_1,M198,M198+(B200*'Input data'!$B$24)),M198)</f>
        <v>94.47854469234332</v>
      </c>
      <c r="N199">
        <f>IF(AF199&gt;0,IF(P198&lt;=Param_1,N198,N198+(C200*'Input data'!$B$24)),N198)</f>
        <v>0</v>
      </c>
      <c r="O199">
        <f t="shared" si="41"/>
        <v>0</v>
      </c>
      <c r="P199">
        <f>IF(P198&lt;=-100000,0,IF(AF199&gt;0,IF(P198&lt;Param_1,P198,P198+(D200*'Input data'!$B$24)),P198))</f>
        <v>-102.005790336941</v>
      </c>
      <c r="Q199">
        <f t="shared" ref="Q199:Q235" si="43">IF(P199=0,0,M199)</f>
        <v>94.47854469234332</v>
      </c>
      <c r="T199">
        <f t="shared" ref="T199:T235" si="44">IF(X199=0,0,Q199)</f>
        <v>0</v>
      </c>
      <c r="U199">
        <f t="shared" ref="U199:U235" si="45">IF(X199=0,0,N199)</f>
        <v>0</v>
      </c>
      <c r="V199" s="74">
        <f>IF(X199=0,'Input data'!$Q$22,Q199)</f>
        <v>80.034601194491032</v>
      </c>
      <c r="W199" s="74">
        <f>IF(U199=0,'Input data'!$Q$23,U199)</f>
        <v>0</v>
      </c>
      <c r="X199" s="74">
        <f t="shared" si="38"/>
        <v>0</v>
      </c>
      <c r="Y199">
        <f>IF(P198&lt;Param_1,Y198,A200*'Input data'!$B$25*SIN(RADIANS('Input data'!$B$10)))</f>
        <v>0</v>
      </c>
      <c r="Z199">
        <f>IF(P198&lt;Param_1,Z198,A200*'Input data'!$B$25*COS(RADIANS('Input data'!$B$10)))</f>
        <v>62.083333333333186</v>
      </c>
      <c r="AA199">
        <f t="shared" si="36"/>
        <v>14.899999999999963</v>
      </c>
      <c r="AB199">
        <f t="shared" si="37"/>
        <v>5.1999999999999975</v>
      </c>
      <c r="AC199">
        <f>IF(ROUND(A199*10,3)='Input data'!$B$14*10,M199,0)</f>
        <v>0</v>
      </c>
      <c r="AD199">
        <f>IF(ROUND(A199*10,3)='Input data'!$B$14*10,N199,0)</f>
        <v>0</v>
      </c>
      <c r="AE199">
        <f>IF(ROUND(A199*10,3)='Input data'!$B$14*10,P199,0)</f>
        <v>0</v>
      </c>
      <c r="AF199">
        <f>IF('Input data'!$B$26="C",IF((3.14159265*1860/4)*((0.001*'Input data'!$B$20)-(2*'Input data'!$B$28*A199))^2*((0.33333*0.001*'Input data'!$B$20)-(2*'Input data'!$B$28*A199))&lt;0,(3.14159265*1860/4)*((0.001*'Input data'!$B$20)-(2*'Input data'!$B$28*A199))^2*((0.33333*0.001*'Input data'!$B$20)-(2*'Input data'!$B$28*A199)),(3.14159265*1860/4)*((0.001*'Input data'!$B$20)-(2*'Input data'!$B$28*A199))^2*((0.33333*0.001*'Input data'!$B$20)-(2*'Input data'!$B$28*A199))),'Input data'!$B$21)</f>
        <v>0.40680208090393727</v>
      </c>
      <c r="AG199">
        <f t="shared" ref="AG199:AG235" si="46">IF(AF199&lt;=0,M199,0)</f>
        <v>0</v>
      </c>
      <c r="AH199">
        <f t="shared" ref="AH199:AH235" si="47">IF(AF199&lt;=0,N199,0)</f>
        <v>0</v>
      </c>
      <c r="AI199">
        <f t="shared" si="40"/>
        <v>0</v>
      </c>
      <c r="AJ199">
        <f t="shared" ref="AJ199:AJ235" si="48">IF(AF199&lt;=0,AA199,3000)</f>
        <v>3000</v>
      </c>
      <c r="AK199">
        <f>IF('Input data'!$B$26="S",'Input data'!$B$22,3.1415*(('Input data'!$B$20*0.0005)-('Input data'!$B$28*A199))^2)</f>
        <v>7.8539816250000026E-3</v>
      </c>
    </row>
    <row r="200" spans="1:37" x14ac:dyDescent="0.2">
      <c r="A200" s="9">
        <f>A199+'Input data'!$B$24</f>
        <v>19.300000000000004</v>
      </c>
      <c r="B200">
        <f>B199+(J199*'Input data'!$B$24)</f>
        <v>5.5916944887765698</v>
      </c>
      <c r="C200">
        <f>C199+(K199*'Input data'!$B$24)</f>
        <v>0</v>
      </c>
      <c r="D200">
        <f>D199+(L199*'Input data'!$B$24)</f>
        <v>-40.360017554300029</v>
      </c>
      <c r="E200">
        <f>IF('Input data'!$B$13=2,'Input data'!$B$25*((0.1036*LN(ABS(P199+1)))+0.8731),IF('Input data'!$B$13=3,'Input data'!$B$25*((0.139*LN(ABS(P199+1)))+0.7503),'Input data'!$B$25))</f>
        <v>5.6301351032067828</v>
      </c>
      <c r="F200">
        <f>E200*COS(RADIANS('Input data'!$B$10))</f>
        <v>5.6301351032067828</v>
      </c>
      <c r="G200">
        <f>E200*SIN(RADIANS('Input data'!$B$10))</f>
        <v>0</v>
      </c>
      <c r="H200">
        <f>1.22*EXP(-0.0001065*(P199+'Input data'!$B$12))</f>
        <v>1.233325864824522</v>
      </c>
      <c r="I200">
        <f t="shared" si="42"/>
        <v>40.360035860542098</v>
      </c>
      <c r="J200">
        <f>-0.5*H200*I200*AK200*'Input data'!$B$19*(B200-F200)/AF200</f>
        <v>9.312539000692014E-3</v>
      </c>
      <c r="K200">
        <f>-0.5*H200*I200*AK200*'Input data'!$B$19*(C200-G200)/AF200</f>
        <v>0</v>
      </c>
      <c r="L200">
        <f>(-0.5*H200*AK200*I200*'Input data'!$B$19*D200/AF200)-'Input data'!$B$23</f>
        <v>-2.7470605266254111E-2</v>
      </c>
      <c r="M200">
        <f>IF(AF200&gt;0,IF(P199&lt;=Param_1,M199,M199+(B201*'Input data'!$B$24)),M199)</f>
        <v>94.47854469234332</v>
      </c>
      <c r="N200">
        <f>IF(AF200&gt;0,IF(P199&lt;=Param_1,N199,N199+(C201*'Input data'!$B$24)),N199)</f>
        <v>0</v>
      </c>
      <c r="O200">
        <f t="shared" si="41"/>
        <v>0</v>
      </c>
      <c r="P200">
        <f>IF(P199&lt;=-100000,0,IF(AF200&gt;0,IF(P199&lt;Param_1,P199,P199+(D201*'Input data'!$B$24)),P199))</f>
        <v>-102.005790336941</v>
      </c>
      <c r="Q200">
        <f t="shared" si="43"/>
        <v>94.47854469234332</v>
      </c>
      <c r="T200">
        <f t="shared" si="44"/>
        <v>0</v>
      </c>
      <c r="U200">
        <f t="shared" si="45"/>
        <v>0</v>
      </c>
      <c r="V200" s="74">
        <f>IF(X200=0,'Input data'!$Q$22,Q200)</f>
        <v>80.034601194491032</v>
      </c>
      <c r="W200" s="74">
        <f>IF(U200=0,'Input data'!$Q$23,U200)</f>
        <v>0</v>
      </c>
      <c r="X200" s="74">
        <f t="shared" si="38"/>
        <v>0</v>
      </c>
      <c r="Y200">
        <f>IF(P199&lt;Param_1,Y199,A201*'Input data'!$B$25*SIN(RADIANS('Input data'!$B$10)))</f>
        <v>0</v>
      </c>
      <c r="Z200">
        <f>IF(P199&lt;Param_1,Z199,A201*'Input data'!$B$25*COS(RADIANS('Input data'!$B$10)))</f>
        <v>62.083333333333186</v>
      </c>
      <c r="AA200">
        <f t="shared" ref="AA200:AA235" si="49">IF(P199&lt;Param_1,AA199,A201)</f>
        <v>14.899999999999963</v>
      </c>
      <c r="AB200">
        <f t="shared" ref="AB200:AB235" si="50">IF(D200&lt;0,AB199,A201)</f>
        <v>5.1999999999999975</v>
      </c>
      <c r="AC200">
        <f>IF(ROUND(A200*10,3)='Input data'!$B$14*10,M200,0)</f>
        <v>0</v>
      </c>
      <c r="AD200">
        <f>IF(ROUND(A200*10,3)='Input data'!$B$14*10,N200,0)</f>
        <v>0</v>
      </c>
      <c r="AE200">
        <f>IF(ROUND(A200*10,3)='Input data'!$B$14*10,P200,0)</f>
        <v>0</v>
      </c>
      <c r="AF200">
        <f>IF('Input data'!$B$26="C",IF((3.14159265*1860/4)*((0.001*'Input data'!$B$20)-(2*'Input data'!$B$28*A200))^2*((0.33333*0.001*'Input data'!$B$20)-(2*'Input data'!$B$28*A200))&lt;0,(3.14159265*1860/4)*((0.001*'Input data'!$B$20)-(2*'Input data'!$B$28*A200))^2*((0.33333*0.001*'Input data'!$B$20)-(2*'Input data'!$B$28*A200)),(3.14159265*1860/4)*((0.001*'Input data'!$B$20)-(2*'Input data'!$B$28*A200))^2*((0.33333*0.001*'Input data'!$B$20)-(2*'Input data'!$B$28*A200))),'Input data'!$B$21)</f>
        <v>0.40680208090393727</v>
      </c>
      <c r="AG200">
        <f t="shared" si="46"/>
        <v>0</v>
      </c>
      <c r="AH200">
        <f t="shared" si="47"/>
        <v>0</v>
      </c>
      <c r="AI200">
        <f t="shared" si="40"/>
        <v>0</v>
      </c>
      <c r="AJ200">
        <f t="shared" si="48"/>
        <v>3000</v>
      </c>
      <c r="AK200">
        <f>IF('Input data'!$B$26="S",'Input data'!$B$22,3.1415*(('Input data'!$B$20*0.0005)-('Input data'!$B$28*A200))^2)</f>
        <v>7.8539816250000026E-3</v>
      </c>
    </row>
    <row r="201" spans="1:37" x14ac:dyDescent="0.2">
      <c r="A201" s="9">
        <f>A200+'Input data'!$B$24</f>
        <v>19.400000000000006</v>
      </c>
      <c r="B201">
        <f>B200+(J200*'Input data'!$B$24)</f>
        <v>5.5926257426766393</v>
      </c>
      <c r="C201">
        <f>C200+(K200*'Input data'!$B$24)</f>
        <v>0</v>
      </c>
      <c r="D201">
        <f>D200+(L200*'Input data'!$B$24)</f>
        <v>-40.362764614826652</v>
      </c>
      <c r="E201">
        <f>IF('Input data'!$B$13=2,'Input data'!$B$25*((0.1036*LN(ABS(P200+1)))+0.8731),IF('Input data'!$B$13=3,'Input data'!$B$25*((0.139*LN(ABS(P200+1)))+0.7503),'Input data'!$B$25))</f>
        <v>5.6301351032067828</v>
      </c>
      <c r="F201">
        <f>E201*COS(RADIANS('Input data'!$B$10))</f>
        <v>5.6301351032067828</v>
      </c>
      <c r="G201">
        <f>E201*SIN(RADIANS('Input data'!$B$10))</f>
        <v>0</v>
      </c>
      <c r="H201">
        <f>1.22*EXP(-0.0001065*(P200+'Input data'!$B$12))</f>
        <v>1.233325864824522</v>
      </c>
      <c r="I201">
        <f t="shared" si="42"/>
        <v>40.362782043660346</v>
      </c>
      <c r="J201">
        <f>-0.5*H201*I201*AK201*'Input data'!$B$19*(B201-F201)/AF201</f>
        <v>9.0875537664264049E-3</v>
      </c>
      <c r="K201">
        <f>-0.5*H201*I201*AK201*'Input data'!$B$19*(C201-G201)/AF201</f>
        <v>0</v>
      </c>
      <c r="L201">
        <f>(-0.5*H201*AK201*I201*'Input data'!$B$19*D201/AF201)-'Input data'!$B$23</f>
        <v>-2.6139779120441631E-2</v>
      </c>
      <c r="M201">
        <f>IF(AF201&gt;0,IF(P200&lt;=Param_1,M200,M200+(B202*'Input data'!$B$24)),M200)</f>
        <v>94.47854469234332</v>
      </c>
      <c r="N201">
        <f>IF(AF201&gt;0,IF(P200&lt;=Param_1,N200,N200+(C202*'Input data'!$B$24)),N200)</f>
        <v>0</v>
      </c>
      <c r="O201">
        <f t="shared" si="41"/>
        <v>0</v>
      </c>
      <c r="P201">
        <f>IF(P200&lt;=-100000,0,IF(AF201&gt;0,IF(P200&lt;Param_1,P200,P200+(D202*'Input data'!$B$24)),P200))</f>
        <v>-102.005790336941</v>
      </c>
      <c r="Q201">
        <f t="shared" si="43"/>
        <v>94.47854469234332</v>
      </c>
      <c r="T201">
        <f t="shared" si="44"/>
        <v>0</v>
      </c>
      <c r="U201">
        <f t="shared" si="45"/>
        <v>0</v>
      </c>
      <c r="V201" s="74">
        <f>IF(X201=0,'Input data'!$Q$22,Q201)</f>
        <v>80.034601194491032</v>
      </c>
      <c r="W201" s="74">
        <f>IF(U201=0,'Input data'!$Q$23,U201)</f>
        <v>0</v>
      </c>
      <c r="X201" s="74">
        <f t="shared" si="38"/>
        <v>0</v>
      </c>
      <c r="Y201">
        <f>IF(P200&lt;Param_1,Y200,A202*'Input data'!$B$25*SIN(RADIANS('Input data'!$B$10)))</f>
        <v>0</v>
      </c>
      <c r="Z201">
        <f>IF(P200&lt;Param_1,Z200,A202*'Input data'!$B$25*COS(RADIANS('Input data'!$B$10)))</f>
        <v>62.083333333333186</v>
      </c>
      <c r="AA201">
        <f t="shared" si="49"/>
        <v>14.899999999999963</v>
      </c>
      <c r="AB201">
        <f t="shared" si="50"/>
        <v>5.1999999999999975</v>
      </c>
      <c r="AC201">
        <f>IF(ROUND(A201*10,3)='Input data'!$B$14*10,M201,0)</f>
        <v>0</v>
      </c>
      <c r="AD201">
        <f>IF(ROUND(A201*10,3)='Input data'!$B$14*10,N201,0)</f>
        <v>0</v>
      </c>
      <c r="AE201">
        <f>IF(ROUND(A201*10,3)='Input data'!$B$14*10,P201,0)</f>
        <v>0</v>
      </c>
      <c r="AF201">
        <f>IF('Input data'!$B$26="C",IF((3.14159265*1860/4)*((0.001*'Input data'!$B$20)-(2*'Input data'!$B$28*A201))^2*((0.33333*0.001*'Input data'!$B$20)-(2*'Input data'!$B$28*A201))&lt;0,(3.14159265*1860/4)*((0.001*'Input data'!$B$20)-(2*'Input data'!$B$28*A201))^2*((0.33333*0.001*'Input data'!$B$20)-(2*'Input data'!$B$28*A201)),(3.14159265*1860/4)*((0.001*'Input data'!$B$20)-(2*'Input data'!$B$28*A201))^2*((0.33333*0.001*'Input data'!$B$20)-(2*'Input data'!$B$28*A201))),'Input data'!$B$21)</f>
        <v>0.40680208090393727</v>
      </c>
      <c r="AG201">
        <f t="shared" si="46"/>
        <v>0</v>
      </c>
      <c r="AH201">
        <f t="shared" si="47"/>
        <v>0</v>
      </c>
      <c r="AI201">
        <f t="shared" si="40"/>
        <v>0</v>
      </c>
      <c r="AJ201">
        <f t="shared" si="48"/>
        <v>3000</v>
      </c>
      <c r="AK201">
        <f>IF('Input data'!$B$26="S",'Input data'!$B$22,3.1415*(('Input data'!$B$20*0.0005)-('Input data'!$B$28*A201))^2)</f>
        <v>7.8539816250000026E-3</v>
      </c>
    </row>
    <row r="202" spans="1:37" x14ac:dyDescent="0.2">
      <c r="A202" s="9">
        <f>A201+'Input data'!$B$24</f>
        <v>19.500000000000007</v>
      </c>
      <c r="B202">
        <f>B201+(J201*'Input data'!$B$24)</f>
        <v>5.5935344980532822</v>
      </c>
      <c r="C202">
        <f>C201+(K201*'Input data'!$B$24)</f>
        <v>0</v>
      </c>
      <c r="D202">
        <f>D201+(L201*'Input data'!$B$24)</f>
        <v>-40.365378592738693</v>
      </c>
      <c r="E202">
        <f>IF('Input data'!$B$13=2,'Input data'!$B$25*((0.1036*LN(ABS(P201+1)))+0.8731),IF('Input data'!$B$13=3,'Input data'!$B$25*((0.139*LN(ABS(P201+1)))+0.7503),'Input data'!$B$25))</f>
        <v>5.6301351032067828</v>
      </c>
      <c r="F202">
        <f>E202*COS(RADIANS('Input data'!$B$10))</f>
        <v>5.6301351032067828</v>
      </c>
      <c r="G202">
        <f>E202*SIN(RADIANS('Input data'!$B$10))</f>
        <v>0</v>
      </c>
      <c r="H202">
        <f>1.22*EXP(-0.0001065*(P201+'Input data'!$B$12))</f>
        <v>1.233325864824522</v>
      </c>
      <c r="I202">
        <f t="shared" si="42"/>
        <v>40.365395186216432</v>
      </c>
      <c r="J202">
        <f>-0.5*H202*I202*AK202*'Input data'!$B$19*(B202-F202)/AF202</f>
        <v>8.8679597877974643E-3</v>
      </c>
      <c r="K202">
        <f>-0.5*H202*I202*AK202*'Input data'!$B$19*(C202-G202)/AF202</f>
        <v>0</v>
      </c>
      <c r="L202">
        <f>(-0.5*H202*AK202*I202*'Input data'!$B$19*D202/AF202)-'Input data'!$B$23</f>
        <v>-2.4873341482416933E-2</v>
      </c>
      <c r="M202">
        <f>IF(AF202&gt;0,IF(P201&lt;=Param_1,M201,M201+(B203*'Input data'!$B$24)),M201)</f>
        <v>94.47854469234332</v>
      </c>
      <c r="N202">
        <f>IF(AF202&gt;0,IF(P201&lt;=Param_1,N201,N201+(C203*'Input data'!$B$24)),N201)</f>
        <v>0</v>
      </c>
      <c r="O202">
        <f t="shared" si="41"/>
        <v>0</v>
      </c>
      <c r="P202">
        <f>IF(P201&lt;=-100000,0,IF(AF202&gt;0,IF(P201&lt;Param_1,P201,P201+(D203*'Input data'!$B$24)),P201))</f>
        <v>-102.005790336941</v>
      </c>
      <c r="Q202">
        <f t="shared" si="43"/>
        <v>94.47854469234332</v>
      </c>
      <c r="T202">
        <f t="shared" si="44"/>
        <v>0</v>
      </c>
      <c r="U202">
        <f t="shared" si="45"/>
        <v>0</v>
      </c>
      <c r="V202" s="74">
        <f>IF(X202=0,'Input data'!$Q$22,Q202)</f>
        <v>80.034601194491032</v>
      </c>
      <c r="W202" s="74">
        <f>IF(U202=0,'Input data'!$Q$23,U202)</f>
        <v>0</v>
      </c>
      <c r="X202" s="74">
        <f t="shared" si="38"/>
        <v>0</v>
      </c>
      <c r="Y202">
        <f>IF(P201&lt;Param_1,Y201,A203*'Input data'!$B$25*SIN(RADIANS('Input data'!$B$10)))</f>
        <v>0</v>
      </c>
      <c r="Z202">
        <f>IF(P201&lt;Param_1,Z201,A203*'Input data'!$B$25*COS(RADIANS('Input data'!$B$10)))</f>
        <v>62.083333333333186</v>
      </c>
      <c r="AA202">
        <f t="shared" si="49"/>
        <v>14.899999999999963</v>
      </c>
      <c r="AB202">
        <f t="shared" si="50"/>
        <v>5.1999999999999975</v>
      </c>
      <c r="AC202">
        <f>IF(ROUND(A202*10,3)='Input data'!$B$14*10,M202,0)</f>
        <v>0</v>
      </c>
      <c r="AD202">
        <f>IF(ROUND(A202*10,3)='Input data'!$B$14*10,N202,0)</f>
        <v>0</v>
      </c>
      <c r="AE202">
        <f>IF(ROUND(A202*10,3)='Input data'!$B$14*10,P202,0)</f>
        <v>0</v>
      </c>
      <c r="AF202">
        <f>IF('Input data'!$B$26="C",IF((3.14159265*1860/4)*((0.001*'Input data'!$B$20)-(2*'Input data'!$B$28*A202))^2*((0.33333*0.001*'Input data'!$B$20)-(2*'Input data'!$B$28*A202))&lt;0,(3.14159265*1860/4)*((0.001*'Input data'!$B$20)-(2*'Input data'!$B$28*A202))^2*((0.33333*0.001*'Input data'!$B$20)-(2*'Input data'!$B$28*A202)),(3.14159265*1860/4)*((0.001*'Input data'!$B$20)-(2*'Input data'!$B$28*A202))^2*((0.33333*0.001*'Input data'!$B$20)-(2*'Input data'!$B$28*A202))),'Input data'!$B$21)</f>
        <v>0.40680208090393727</v>
      </c>
      <c r="AG202">
        <f t="shared" si="46"/>
        <v>0</v>
      </c>
      <c r="AH202">
        <f t="shared" si="47"/>
        <v>0</v>
      </c>
      <c r="AI202">
        <f t="shared" si="40"/>
        <v>0</v>
      </c>
      <c r="AJ202">
        <f t="shared" si="48"/>
        <v>3000</v>
      </c>
      <c r="AK202">
        <f>IF('Input data'!$B$26="S",'Input data'!$B$22,3.1415*(('Input data'!$B$20*0.0005)-('Input data'!$B$28*A202))^2)</f>
        <v>7.8539816250000026E-3</v>
      </c>
    </row>
    <row r="203" spans="1:37" x14ac:dyDescent="0.2">
      <c r="A203" s="9">
        <f>A202+'Input data'!$B$24</f>
        <v>19.600000000000009</v>
      </c>
      <c r="B203">
        <f>B202+(J202*'Input data'!$B$24)</f>
        <v>5.5944212940320623</v>
      </c>
      <c r="C203">
        <f>C202+(K202*'Input data'!$B$24)</f>
        <v>0</v>
      </c>
      <c r="D203">
        <f>D202+(L202*'Input data'!$B$24)</f>
        <v>-40.367865926886935</v>
      </c>
      <c r="E203">
        <f>IF('Input data'!$B$13=2,'Input data'!$B$25*((0.1036*LN(ABS(P202+1)))+0.8731),IF('Input data'!$B$13=3,'Input data'!$B$25*((0.139*LN(ABS(P202+1)))+0.7503),'Input data'!$B$25))</f>
        <v>5.6301351032067828</v>
      </c>
      <c r="F203">
        <f>E203*COS(RADIANS('Input data'!$B$10))</f>
        <v>5.6301351032067828</v>
      </c>
      <c r="G203">
        <f>E203*SIN(RADIANS('Input data'!$B$10))</f>
        <v>0</v>
      </c>
      <c r="H203">
        <f>1.22*EXP(-0.0001065*(P202+'Input data'!$B$12))</f>
        <v>1.233325864824522</v>
      </c>
      <c r="I203">
        <f t="shared" si="42"/>
        <v>40.367881725045777</v>
      </c>
      <c r="J203">
        <f>-0.5*H203*I203*AK203*'Input data'!$B$19*(B203-F203)/AF203</f>
        <v>8.6536310476989248E-3</v>
      </c>
      <c r="K203">
        <f>-0.5*H203*I203*AK203*'Input data'!$B$19*(C203-G203)/AF203</f>
        <v>0</v>
      </c>
      <c r="L203">
        <f>(-0.5*H203*AK203*I203*'Input data'!$B$19*D203/AF203)-'Input data'!$B$23</f>
        <v>-2.3668185035720768E-2</v>
      </c>
      <c r="M203">
        <f>IF(AF203&gt;0,IF(P202&lt;=Param_1,M202,M202+(B204*'Input data'!$B$24)),M202)</f>
        <v>94.47854469234332</v>
      </c>
      <c r="N203">
        <f>IF(AF203&gt;0,IF(P202&lt;=Param_1,N202,N202+(C204*'Input data'!$B$24)),N202)</f>
        <v>0</v>
      </c>
      <c r="O203">
        <f t="shared" si="41"/>
        <v>0</v>
      </c>
      <c r="P203">
        <f>IF(P202&lt;=-100000,0,IF(AF203&gt;0,IF(P202&lt;Param_1,P202,P202+(D204*'Input data'!$B$24)),P202))</f>
        <v>-102.005790336941</v>
      </c>
      <c r="Q203">
        <f t="shared" si="43"/>
        <v>94.47854469234332</v>
      </c>
      <c r="T203">
        <f t="shared" si="44"/>
        <v>0</v>
      </c>
      <c r="U203">
        <f t="shared" si="45"/>
        <v>0</v>
      </c>
      <c r="V203" s="74">
        <f>IF(X203=0,'Input data'!$Q$22,Q203)</f>
        <v>80.034601194491032</v>
      </c>
      <c r="W203" s="74">
        <f>IF(U203=0,'Input data'!$Q$23,U203)</f>
        <v>0</v>
      </c>
      <c r="X203" s="74">
        <f t="shared" si="38"/>
        <v>0</v>
      </c>
      <c r="Y203">
        <f>IF(P202&lt;Param_1,Y202,A204*'Input data'!$B$25*SIN(RADIANS('Input data'!$B$10)))</f>
        <v>0</v>
      </c>
      <c r="Z203">
        <f>IF(P202&lt;Param_1,Z202,A204*'Input data'!$B$25*COS(RADIANS('Input data'!$B$10)))</f>
        <v>62.083333333333186</v>
      </c>
      <c r="AA203">
        <f t="shared" si="49"/>
        <v>14.899999999999963</v>
      </c>
      <c r="AB203">
        <f t="shared" si="50"/>
        <v>5.1999999999999975</v>
      </c>
      <c r="AC203">
        <f>IF(ROUND(A203*10,3)='Input data'!$B$14*10,M203,0)</f>
        <v>0</v>
      </c>
      <c r="AD203">
        <f>IF(ROUND(A203*10,3)='Input data'!$B$14*10,N203,0)</f>
        <v>0</v>
      </c>
      <c r="AE203">
        <f>IF(ROUND(A203*10,3)='Input data'!$B$14*10,P203,0)</f>
        <v>0</v>
      </c>
      <c r="AF203">
        <f>IF('Input data'!$B$26="C",IF((3.14159265*1860/4)*((0.001*'Input data'!$B$20)-(2*'Input data'!$B$28*A203))^2*((0.33333*0.001*'Input data'!$B$20)-(2*'Input data'!$B$28*A203))&lt;0,(3.14159265*1860/4)*((0.001*'Input data'!$B$20)-(2*'Input data'!$B$28*A203))^2*((0.33333*0.001*'Input data'!$B$20)-(2*'Input data'!$B$28*A203)),(3.14159265*1860/4)*((0.001*'Input data'!$B$20)-(2*'Input data'!$B$28*A203))^2*((0.33333*0.001*'Input data'!$B$20)-(2*'Input data'!$B$28*A203))),'Input data'!$B$21)</f>
        <v>0.40680208090393727</v>
      </c>
      <c r="AG203">
        <f t="shared" si="46"/>
        <v>0</v>
      </c>
      <c r="AH203">
        <f t="shared" si="47"/>
        <v>0</v>
      </c>
      <c r="AI203">
        <f t="shared" si="40"/>
        <v>0</v>
      </c>
      <c r="AJ203">
        <f t="shared" si="48"/>
        <v>3000</v>
      </c>
      <c r="AK203">
        <f>IF('Input data'!$B$26="S",'Input data'!$B$22,3.1415*(('Input data'!$B$20*0.0005)-('Input data'!$B$28*A203))^2)</f>
        <v>7.8539816250000026E-3</v>
      </c>
    </row>
    <row r="204" spans="1:37" x14ac:dyDescent="0.2">
      <c r="A204" s="9">
        <f>A203+'Input data'!$B$24</f>
        <v>19.70000000000001</v>
      </c>
      <c r="B204">
        <f>B203+(J203*'Input data'!$B$24)</f>
        <v>5.5952866571368318</v>
      </c>
      <c r="C204">
        <f>C203+(K203*'Input data'!$B$24)</f>
        <v>0</v>
      </c>
      <c r="D204">
        <f>D203+(L203*'Input data'!$B$24)</f>
        <v>-40.37023274539051</v>
      </c>
      <c r="E204">
        <f>IF('Input data'!$B$13=2,'Input data'!$B$25*((0.1036*LN(ABS(P203+1)))+0.8731),IF('Input data'!$B$13=3,'Input data'!$B$25*((0.139*LN(ABS(P203+1)))+0.7503),'Input data'!$B$25))</f>
        <v>5.6301351032067828</v>
      </c>
      <c r="F204">
        <f>E204*COS(RADIANS('Input data'!$B$10))</f>
        <v>5.6301351032067828</v>
      </c>
      <c r="G204">
        <f>E204*SIN(RADIANS('Input data'!$B$10))</f>
        <v>0</v>
      </c>
      <c r="H204">
        <f>1.22*EXP(-0.0001065*(P203+'Input data'!$B$12))</f>
        <v>1.233325864824522</v>
      </c>
      <c r="I204">
        <f t="shared" si="42"/>
        <v>40.37024778634872</v>
      </c>
      <c r="J204">
        <f>-0.5*H204*I204*AK204*'Input data'!$B$19*(B204-F204)/AF204</f>
        <v>8.4444442457622289E-3</v>
      </c>
      <c r="K204">
        <f>-0.5*H204*I204*AK204*'Input data'!$B$19*(C204-G204)/AF204</f>
        <v>0</v>
      </c>
      <c r="L204">
        <f>(-0.5*H204*AK204*I204*'Input data'!$B$19*D204/AF204)-'Input data'!$B$23</f>
        <v>-2.2521351666558331E-2</v>
      </c>
      <c r="M204">
        <f>IF(AF204&gt;0,IF(P203&lt;=Param_1,M203,M203+(B205*'Input data'!$B$24)),M203)</f>
        <v>94.47854469234332</v>
      </c>
      <c r="N204">
        <f>IF(AF204&gt;0,IF(P203&lt;=Param_1,N203,N203+(C205*'Input data'!$B$24)),N203)</f>
        <v>0</v>
      </c>
      <c r="O204">
        <f t="shared" si="41"/>
        <v>0</v>
      </c>
      <c r="P204">
        <f>IF(P203&lt;=-100000,0,IF(AF204&gt;0,IF(P203&lt;Param_1,P203,P203+(D205*'Input data'!$B$24)),P203))</f>
        <v>-102.005790336941</v>
      </c>
      <c r="Q204">
        <f t="shared" si="43"/>
        <v>94.47854469234332</v>
      </c>
      <c r="T204">
        <f t="shared" si="44"/>
        <v>0</v>
      </c>
      <c r="U204">
        <f t="shared" si="45"/>
        <v>0</v>
      </c>
      <c r="V204" s="74">
        <f>IF(X204=0,'Input data'!$Q$22,Q204)</f>
        <v>80.034601194491032</v>
      </c>
      <c r="W204" s="74">
        <f>IF(U204=0,'Input data'!$Q$23,U204)</f>
        <v>0</v>
      </c>
      <c r="X204" s="74">
        <f t="shared" si="38"/>
        <v>0</v>
      </c>
      <c r="Y204">
        <f>IF(P203&lt;Param_1,Y203,A205*'Input data'!$B$25*SIN(RADIANS('Input data'!$B$10)))</f>
        <v>0</v>
      </c>
      <c r="Z204">
        <f>IF(P203&lt;Param_1,Z203,A205*'Input data'!$B$25*COS(RADIANS('Input data'!$B$10)))</f>
        <v>62.083333333333186</v>
      </c>
      <c r="AA204">
        <f t="shared" si="49"/>
        <v>14.899999999999963</v>
      </c>
      <c r="AB204">
        <f t="shared" si="50"/>
        <v>5.1999999999999975</v>
      </c>
      <c r="AC204">
        <f>IF(ROUND(A204*10,3)='Input data'!$B$14*10,M204,0)</f>
        <v>0</v>
      </c>
      <c r="AD204">
        <f>IF(ROUND(A204*10,3)='Input data'!$B$14*10,N204,0)</f>
        <v>0</v>
      </c>
      <c r="AE204">
        <f>IF(ROUND(A204*10,3)='Input data'!$B$14*10,P204,0)</f>
        <v>0</v>
      </c>
      <c r="AF204">
        <f>IF('Input data'!$B$26="C",IF((3.14159265*1860/4)*((0.001*'Input data'!$B$20)-(2*'Input data'!$B$28*A204))^2*((0.33333*0.001*'Input data'!$B$20)-(2*'Input data'!$B$28*A204))&lt;0,(3.14159265*1860/4)*((0.001*'Input data'!$B$20)-(2*'Input data'!$B$28*A204))^2*((0.33333*0.001*'Input data'!$B$20)-(2*'Input data'!$B$28*A204)),(3.14159265*1860/4)*((0.001*'Input data'!$B$20)-(2*'Input data'!$B$28*A204))^2*((0.33333*0.001*'Input data'!$B$20)-(2*'Input data'!$B$28*A204))),'Input data'!$B$21)</f>
        <v>0.40680208090393727</v>
      </c>
      <c r="AG204">
        <f t="shared" si="46"/>
        <v>0</v>
      </c>
      <c r="AH204">
        <f t="shared" si="47"/>
        <v>0</v>
      </c>
      <c r="AI204">
        <f t="shared" si="40"/>
        <v>0</v>
      </c>
      <c r="AJ204">
        <f t="shared" si="48"/>
        <v>3000</v>
      </c>
      <c r="AK204">
        <f>IF('Input data'!$B$26="S",'Input data'!$B$22,3.1415*(('Input data'!$B$20*0.0005)-('Input data'!$B$28*A204))^2)</f>
        <v>7.8539816250000026E-3</v>
      </c>
    </row>
    <row r="205" spans="1:37" x14ac:dyDescent="0.2">
      <c r="A205" s="9">
        <f>A204+'Input data'!$B$24</f>
        <v>19.800000000000011</v>
      </c>
      <c r="B205">
        <f>B204+(J204*'Input data'!$B$24)</f>
        <v>5.5961311015614079</v>
      </c>
      <c r="C205">
        <f>C204+(K204*'Input data'!$B$24)</f>
        <v>0</v>
      </c>
      <c r="D205">
        <f>D204+(L204*'Input data'!$B$24)</f>
        <v>-40.372484880557167</v>
      </c>
      <c r="E205">
        <f>IF('Input data'!$B$13=2,'Input data'!$B$25*((0.1036*LN(ABS(P204+1)))+0.8731),IF('Input data'!$B$13=3,'Input data'!$B$25*((0.139*LN(ABS(P204+1)))+0.7503),'Input data'!$B$25))</f>
        <v>5.6301351032067828</v>
      </c>
      <c r="F205">
        <f>E205*COS(RADIANS('Input data'!$B$10))</f>
        <v>5.6301351032067828</v>
      </c>
      <c r="G205">
        <f>E205*SIN(RADIANS('Input data'!$B$10))</f>
        <v>0</v>
      </c>
      <c r="H205">
        <f>1.22*EXP(-0.0001065*(P204+'Input data'!$B$12))</f>
        <v>1.233325864824522</v>
      </c>
      <c r="I205">
        <f t="shared" si="42"/>
        <v>40.372499200606157</v>
      </c>
      <c r="J205">
        <f>-0.5*H205*I205*AK205*'Input data'!$B$19*(B205-F205)/AF205</f>
        <v>8.2402787566622938E-3</v>
      </c>
      <c r="K205">
        <f>-0.5*H205*I205*AK205*'Input data'!$B$19*(C205-G205)/AF205</f>
        <v>0</v>
      </c>
      <c r="L205">
        <f>(-0.5*H205*AK205*I205*'Input data'!$B$19*D205/AF205)-'Input data'!$B$23</f>
        <v>-2.1430025370994699E-2</v>
      </c>
      <c r="M205">
        <f>IF(AF205&gt;0,IF(P204&lt;=Param_1,M204,M204+(B206*'Input data'!$B$24)),M204)</f>
        <v>94.47854469234332</v>
      </c>
      <c r="N205">
        <f>IF(AF205&gt;0,IF(P204&lt;=Param_1,N204,N204+(C206*'Input data'!$B$24)),N204)</f>
        <v>0</v>
      </c>
      <c r="O205">
        <f t="shared" si="41"/>
        <v>0</v>
      </c>
      <c r="P205">
        <f>IF(P204&lt;=-100000,0,IF(AF205&gt;0,IF(P204&lt;Param_1,P204,P204+(D206*'Input data'!$B$24)),P204))</f>
        <v>-102.005790336941</v>
      </c>
      <c r="Q205">
        <f t="shared" si="43"/>
        <v>94.47854469234332</v>
      </c>
      <c r="T205">
        <f t="shared" si="44"/>
        <v>0</v>
      </c>
      <c r="U205">
        <f t="shared" si="45"/>
        <v>0</v>
      </c>
      <c r="V205" s="74">
        <f>IF(X205=0,'Input data'!$Q$22,Q205)</f>
        <v>80.034601194491032</v>
      </c>
      <c r="W205" s="74">
        <f>IF(U205=0,'Input data'!$Q$23,U205)</f>
        <v>0</v>
      </c>
      <c r="X205" s="74">
        <f t="shared" si="38"/>
        <v>0</v>
      </c>
      <c r="Y205">
        <f>IF(P204&lt;Param_1,Y204,A206*'Input data'!$B$25*SIN(RADIANS('Input data'!$B$10)))</f>
        <v>0</v>
      </c>
      <c r="Z205">
        <f>IF(P204&lt;Param_1,Z204,A206*'Input data'!$B$25*COS(RADIANS('Input data'!$B$10)))</f>
        <v>62.083333333333186</v>
      </c>
      <c r="AA205">
        <f t="shared" si="49"/>
        <v>14.899999999999963</v>
      </c>
      <c r="AB205">
        <f t="shared" si="50"/>
        <v>5.1999999999999975</v>
      </c>
      <c r="AC205">
        <f>IF(ROUND(A205*10,3)='Input data'!$B$14*10,M205,0)</f>
        <v>0</v>
      </c>
      <c r="AD205">
        <f>IF(ROUND(A205*10,3)='Input data'!$B$14*10,N205,0)</f>
        <v>0</v>
      </c>
      <c r="AE205">
        <f>IF(ROUND(A205*10,3)='Input data'!$B$14*10,P205,0)</f>
        <v>0</v>
      </c>
      <c r="AF205">
        <f>IF('Input data'!$B$26="C",IF((3.14159265*1860/4)*((0.001*'Input data'!$B$20)-(2*'Input data'!$B$28*A205))^2*((0.33333*0.001*'Input data'!$B$20)-(2*'Input data'!$B$28*A205))&lt;0,(3.14159265*1860/4)*((0.001*'Input data'!$B$20)-(2*'Input data'!$B$28*A205))^2*((0.33333*0.001*'Input data'!$B$20)-(2*'Input data'!$B$28*A205)),(3.14159265*1860/4)*((0.001*'Input data'!$B$20)-(2*'Input data'!$B$28*A205))^2*((0.33333*0.001*'Input data'!$B$20)-(2*'Input data'!$B$28*A205))),'Input data'!$B$21)</f>
        <v>0.40680208090393727</v>
      </c>
      <c r="AG205">
        <f t="shared" si="46"/>
        <v>0</v>
      </c>
      <c r="AH205">
        <f t="shared" si="47"/>
        <v>0</v>
      </c>
      <c r="AI205">
        <f t="shared" si="40"/>
        <v>0</v>
      </c>
      <c r="AJ205">
        <f t="shared" si="48"/>
        <v>3000</v>
      </c>
      <c r="AK205">
        <f>IF('Input data'!$B$26="S",'Input data'!$B$22,3.1415*(('Input data'!$B$20*0.0005)-('Input data'!$B$28*A205))^2)</f>
        <v>7.8539816250000026E-3</v>
      </c>
    </row>
    <row r="206" spans="1:37" x14ac:dyDescent="0.2">
      <c r="A206" s="9">
        <f>A205+'Input data'!$B$24</f>
        <v>19.900000000000013</v>
      </c>
      <c r="B206">
        <f>B205+(J205*'Input data'!$B$24)</f>
        <v>5.5969551294370739</v>
      </c>
      <c r="C206">
        <f>C205+(K205*'Input data'!$B$24)</f>
        <v>0</v>
      </c>
      <c r="D206">
        <f>D205+(L205*'Input data'!$B$24)</f>
        <v>-40.374627883094263</v>
      </c>
      <c r="E206">
        <f>IF('Input data'!$B$13=2,'Input data'!$B$25*((0.1036*LN(ABS(P205+1)))+0.8731),IF('Input data'!$B$13=3,'Input data'!$B$25*((0.139*LN(ABS(P205+1)))+0.7503),'Input data'!$B$25))</f>
        <v>5.6301351032067828</v>
      </c>
      <c r="F206">
        <f>E206*COS(RADIANS('Input data'!$B$10))</f>
        <v>5.6301351032067828</v>
      </c>
      <c r="G206">
        <f>E206*SIN(RADIANS('Input data'!$B$10))</f>
        <v>0</v>
      </c>
      <c r="H206">
        <f>1.22*EXP(-0.0001065*(P205+'Input data'!$B$12))</f>
        <v>1.233325864824522</v>
      </c>
      <c r="I206">
        <f t="shared" si="42"/>
        <v>40.374641516786156</v>
      </c>
      <c r="J206">
        <f>-0.5*H206*I206*AK206*'Input data'!$B$19*(B206-F206)/AF206</f>
        <v>8.0410165877211909E-3</v>
      </c>
      <c r="K206">
        <f>-0.5*H206*I206*AK206*'Input data'!$B$19*(C206-G206)/AF206</f>
        <v>0</v>
      </c>
      <c r="L206">
        <f>(-0.5*H206*AK206*I206*'Input data'!$B$19*D206/AF206)-'Input data'!$B$23</f>
        <v>-2.0391525492474472E-2</v>
      </c>
      <c r="M206">
        <f>IF(AF206&gt;0,IF(P205&lt;=Param_1,M205,M205+(B207*'Input data'!$B$24)),M205)</f>
        <v>94.47854469234332</v>
      </c>
      <c r="N206">
        <f>IF(AF206&gt;0,IF(P205&lt;=Param_1,N205,N205+(C207*'Input data'!$B$24)),N205)</f>
        <v>0</v>
      </c>
      <c r="O206">
        <f t="shared" si="41"/>
        <v>0</v>
      </c>
      <c r="P206">
        <f>IF(P205&lt;=-100000,0,IF(AF206&gt;0,IF(P205&lt;Param_1,P205,P205+(D207*'Input data'!$B$24)),P205))</f>
        <v>-102.005790336941</v>
      </c>
      <c r="Q206">
        <f t="shared" si="43"/>
        <v>94.47854469234332</v>
      </c>
      <c r="T206">
        <f t="shared" si="44"/>
        <v>0</v>
      </c>
      <c r="U206">
        <f t="shared" si="45"/>
        <v>0</v>
      </c>
      <c r="V206" s="74">
        <f>IF(X206=0,'Input data'!$Q$22,Q206)</f>
        <v>80.034601194491032</v>
      </c>
      <c r="W206" s="74">
        <f>IF(U206=0,'Input data'!$Q$23,U206)</f>
        <v>0</v>
      </c>
      <c r="X206" s="74">
        <f t="shared" si="38"/>
        <v>0</v>
      </c>
      <c r="Y206">
        <f>IF(P205&lt;Param_1,Y205,A207*'Input data'!$B$25*SIN(RADIANS('Input data'!$B$10)))</f>
        <v>0</v>
      </c>
      <c r="Z206">
        <f>IF(P205&lt;Param_1,Z205,A207*'Input data'!$B$25*COS(RADIANS('Input data'!$B$10)))</f>
        <v>62.083333333333186</v>
      </c>
      <c r="AA206">
        <f t="shared" si="49"/>
        <v>14.899999999999963</v>
      </c>
      <c r="AB206">
        <f t="shared" si="50"/>
        <v>5.1999999999999975</v>
      </c>
      <c r="AC206">
        <f>IF(ROUND(A206*10,3)='Input data'!$B$14*10,M206,0)</f>
        <v>0</v>
      </c>
      <c r="AD206">
        <f>IF(ROUND(A206*10,3)='Input data'!$B$14*10,N206,0)</f>
        <v>0</v>
      </c>
      <c r="AE206">
        <f>IF(ROUND(A206*10,3)='Input data'!$B$14*10,P206,0)</f>
        <v>0</v>
      </c>
      <c r="AF206">
        <f>IF('Input data'!$B$26="C",IF((3.14159265*1860/4)*((0.001*'Input data'!$B$20)-(2*'Input data'!$B$28*A206))^2*((0.33333*0.001*'Input data'!$B$20)-(2*'Input data'!$B$28*A206))&lt;0,(3.14159265*1860/4)*((0.001*'Input data'!$B$20)-(2*'Input data'!$B$28*A206))^2*((0.33333*0.001*'Input data'!$B$20)-(2*'Input data'!$B$28*A206)),(3.14159265*1860/4)*((0.001*'Input data'!$B$20)-(2*'Input data'!$B$28*A206))^2*((0.33333*0.001*'Input data'!$B$20)-(2*'Input data'!$B$28*A206))),'Input data'!$B$21)</f>
        <v>0.40680208090393727</v>
      </c>
      <c r="AG206">
        <f t="shared" si="46"/>
        <v>0</v>
      </c>
      <c r="AH206">
        <f t="shared" si="47"/>
        <v>0</v>
      </c>
      <c r="AI206">
        <f t="shared" si="40"/>
        <v>0</v>
      </c>
      <c r="AJ206">
        <f t="shared" si="48"/>
        <v>3000</v>
      </c>
      <c r="AK206">
        <f>IF('Input data'!$B$26="S",'Input data'!$B$22,3.1415*(('Input data'!$B$20*0.0005)-('Input data'!$B$28*A206))^2)</f>
        <v>7.8539816250000026E-3</v>
      </c>
    </row>
    <row r="207" spans="1:37" x14ac:dyDescent="0.2">
      <c r="A207" s="9">
        <f>A206+'Input data'!$B$24</f>
        <v>20.000000000000014</v>
      </c>
      <c r="B207">
        <f>B206+(J206*'Input data'!$B$24)</f>
        <v>5.5977592310958464</v>
      </c>
      <c r="C207">
        <f>C206+(K206*'Input data'!$B$24)</f>
        <v>0</v>
      </c>
      <c r="D207">
        <f>D206+(L206*'Input data'!$B$24)</f>
        <v>-40.376667035643507</v>
      </c>
      <c r="E207">
        <f>IF('Input data'!$B$13=2,'Input data'!$B$25*((0.1036*LN(ABS(P206+1)))+0.8731),IF('Input data'!$B$13=3,'Input data'!$B$25*((0.139*LN(ABS(P206+1)))+0.7503),'Input data'!$B$25))</f>
        <v>5.6301351032067828</v>
      </c>
      <c r="F207">
        <f>E207*COS(RADIANS('Input data'!$B$10))</f>
        <v>5.6301351032067828</v>
      </c>
      <c r="G207">
        <f>E207*SIN(RADIANS('Input data'!$B$10))</f>
        <v>0</v>
      </c>
      <c r="H207">
        <f>1.22*EXP(-0.0001065*(P206+'Input data'!$B$12))</f>
        <v>1.233325864824522</v>
      </c>
      <c r="I207">
        <f t="shared" si="42"/>
        <v>40.376680015874463</v>
      </c>
      <c r="J207">
        <f>-0.5*H207*I207*AK207*'Input data'!$B$19*(B207-F207)/AF207</f>
        <v>7.8465423359441074E-3</v>
      </c>
      <c r="K207">
        <f>-0.5*H207*I207*AK207*'Input data'!$B$19*(C207-G207)/AF207</f>
        <v>0</v>
      </c>
      <c r="L207">
        <f>(-0.5*H207*AK207*I207*'Input data'!$B$19*D207/AF207)-'Input data'!$B$23</f>
        <v>-1.9403300275069313E-2</v>
      </c>
      <c r="M207">
        <f>IF(AF207&gt;0,IF(P206&lt;=Param_1,M206,M206+(B208*'Input data'!$B$24)),M206)</f>
        <v>94.47854469234332</v>
      </c>
      <c r="N207">
        <f>IF(AF207&gt;0,IF(P206&lt;=Param_1,N206,N206+(C208*'Input data'!$B$24)),N206)</f>
        <v>0</v>
      </c>
      <c r="O207">
        <f t="shared" si="41"/>
        <v>0</v>
      </c>
      <c r="P207">
        <f>IF(P206&lt;=-100000,0,IF(AF207&gt;0,IF(P206&lt;Param_1,P206,P206+(D208*'Input data'!$B$24)),P206))</f>
        <v>-102.005790336941</v>
      </c>
      <c r="Q207">
        <f t="shared" si="43"/>
        <v>94.47854469234332</v>
      </c>
      <c r="T207">
        <f t="shared" si="44"/>
        <v>0</v>
      </c>
      <c r="U207">
        <f t="shared" si="45"/>
        <v>0</v>
      </c>
      <c r="V207" s="74">
        <f>IF(X207=0,'Input data'!$Q$22,Q207)</f>
        <v>80.034601194491032</v>
      </c>
      <c r="W207" s="74">
        <f>IF(U207=0,'Input data'!$Q$23,U207)</f>
        <v>0</v>
      </c>
      <c r="X207" s="74">
        <f t="shared" si="38"/>
        <v>0</v>
      </c>
      <c r="Y207">
        <f>IF(P206&lt;Param_1,Y206,A208*'Input data'!$B$25*SIN(RADIANS('Input data'!$B$10)))</f>
        <v>0</v>
      </c>
      <c r="Z207">
        <f>IF(P206&lt;Param_1,Z206,A208*'Input data'!$B$25*COS(RADIANS('Input data'!$B$10)))</f>
        <v>62.083333333333186</v>
      </c>
      <c r="AA207">
        <f t="shared" si="49"/>
        <v>14.899999999999963</v>
      </c>
      <c r="AB207">
        <f t="shared" si="50"/>
        <v>5.1999999999999975</v>
      </c>
      <c r="AC207">
        <f>IF(ROUND(A207*10,3)='Input data'!$B$14*10,M207,0)</f>
        <v>0</v>
      </c>
      <c r="AD207">
        <f>IF(ROUND(A207*10,3)='Input data'!$B$14*10,N207,0)</f>
        <v>0</v>
      </c>
      <c r="AE207">
        <f>IF(ROUND(A207*10,3)='Input data'!$B$14*10,P207,0)</f>
        <v>0</v>
      </c>
      <c r="AF207">
        <f>IF('Input data'!$B$26="C",IF((3.14159265*1860/4)*((0.001*'Input data'!$B$20)-(2*'Input data'!$B$28*A207))^2*((0.33333*0.001*'Input data'!$B$20)-(2*'Input data'!$B$28*A207))&lt;0,(3.14159265*1860/4)*((0.001*'Input data'!$B$20)-(2*'Input data'!$B$28*A207))^2*((0.33333*0.001*'Input data'!$B$20)-(2*'Input data'!$B$28*A207)),(3.14159265*1860/4)*((0.001*'Input data'!$B$20)-(2*'Input data'!$B$28*A207))^2*((0.33333*0.001*'Input data'!$B$20)-(2*'Input data'!$B$28*A207))),'Input data'!$B$21)</f>
        <v>0.40680208090393727</v>
      </c>
      <c r="AG207">
        <f t="shared" si="46"/>
        <v>0</v>
      </c>
      <c r="AH207">
        <f t="shared" si="47"/>
        <v>0</v>
      </c>
      <c r="AI207">
        <f t="shared" si="40"/>
        <v>0</v>
      </c>
      <c r="AJ207">
        <f t="shared" si="48"/>
        <v>3000</v>
      </c>
      <c r="AK207">
        <f>IF('Input data'!$B$26="S",'Input data'!$B$22,3.1415*(('Input data'!$B$20*0.0005)-('Input data'!$B$28*A207))^2)</f>
        <v>7.8539816250000026E-3</v>
      </c>
    </row>
    <row r="208" spans="1:37" x14ac:dyDescent="0.2">
      <c r="A208" s="9">
        <f>A207+'Input data'!$B$24</f>
        <v>20.100000000000016</v>
      </c>
      <c r="B208">
        <f>B207+(J207*'Input data'!$B$24)</f>
        <v>5.5985438853294411</v>
      </c>
      <c r="C208">
        <f>C207+(K207*'Input data'!$B$24)</f>
        <v>0</v>
      </c>
      <c r="D208">
        <f>D207+(L207*'Input data'!$B$24)</f>
        <v>-40.378607365671016</v>
      </c>
      <c r="E208">
        <f>IF('Input data'!$B$13=2,'Input data'!$B$25*((0.1036*LN(ABS(P207+1)))+0.8731),IF('Input data'!$B$13=3,'Input data'!$B$25*((0.139*LN(ABS(P207+1)))+0.7503),'Input data'!$B$25))</f>
        <v>5.6301351032067828</v>
      </c>
      <c r="F208">
        <f>E208*COS(RADIANS('Input data'!$B$10))</f>
        <v>5.6301351032067828</v>
      </c>
      <c r="G208">
        <f>E208*SIN(RADIANS('Input data'!$B$10))</f>
        <v>0</v>
      </c>
      <c r="H208">
        <f>1.22*EXP(-0.0001065*(P207+'Input data'!$B$12))</f>
        <v>1.233325864824522</v>
      </c>
      <c r="I208">
        <f t="shared" si="42"/>
        <v>40.3786197237606</v>
      </c>
      <c r="J208">
        <f>-0.5*H208*I208*AK208*'Input data'!$B$19*(B208-F208)/AF208</f>
        <v>7.6567431446167931E-3</v>
      </c>
      <c r="K208">
        <f>-0.5*H208*I208*AK208*'Input data'!$B$19*(C208-G208)/AF208</f>
        <v>0</v>
      </c>
      <c r="L208">
        <f>(-0.5*H208*AK208*I208*'Input data'!$B$19*D208/AF208)-'Input data'!$B$23</f>
        <v>-1.8462920718182119E-2</v>
      </c>
      <c r="M208">
        <f>IF(AF208&gt;0,IF(P207&lt;=Param_1,M207,M207+(B209*'Input data'!$B$24)),M207)</f>
        <v>94.47854469234332</v>
      </c>
      <c r="N208">
        <f>IF(AF208&gt;0,IF(P207&lt;=Param_1,N207,N207+(C209*'Input data'!$B$24)),N207)</f>
        <v>0</v>
      </c>
      <c r="O208">
        <f t="shared" si="41"/>
        <v>0</v>
      </c>
      <c r="P208">
        <f>IF(P207&lt;=-100000,0,IF(AF208&gt;0,IF(P207&lt;Param_1,P207,P207+(D209*'Input data'!$B$24)),P207))</f>
        <v>-102.005790336941</v>
      </c>
      <c r="Q208">
        <f t="shared" si="43"/>
        <v>94.47854469234332</v>
      </c>
      <c r="T208">
        <f t="shared" si="44"/>
        <v>0</v>
      </c>
      <c r="U208">
        <f t="shared" si="45"/>
        <v>0</v>
      </c>
      <c r="V208" s="74">
        <f>IF(X208=0,'Input data'!$Q$22,Q208)</f>
        <v>80.034601194491032</v>
      </c>
      <c r="W208" s="74">
        <f>IF(U208=0,'Input data'!$Q$23,U208)</f>
        <v>0</v>
      </c>
      <c r="X208" s="74">
        <f t="shared" si="38"/>
        <v>0</v>
      </c>
      <c r="Y208">
        <f>IF(P207&lt;Param_1,Y207,A209*'Input data'!$B$25*SIN(RADIANS('Input data'!$B$10)))</f>
        <v>0</v>
      </c>
      <c r="Z208">
        <f>IF(P207&lt;Param_1,Z207,A209*'Input data'!$B$25*COS(RADIANS('Input data'!$B$10)))</f>
        <v>62.083333333333186</v>
      </c>
      <c r="AA208">
        <f t="shared" si="49"/>
        <v>14.899999999999963</v>
      </c>
      <c r="AB208">
        <f t="shared" si="50"/>
        <v>5.1999999999999975</v>
      </c>
      <c r="AC208">
        <f>IF(ROUND(A208*10,3)='Input data'!$B$14*10,M208,0)</f>
        <v>0</v>
      </c>
      <c r="AD208">
        <f>IF(ROUND(A208*10,3)='Input data'!$B$14*10,N208,0)</f>
        <v>0</v>
      </c>
      <c r="AE208">
        <f>IF(ROUND(A208*10,3)='Input data'!$B$14*10,P208,0)</f>
        <v>0</v>
      </c>
      <c r="AF208">
        <f>IF('Input data'!$B$26="C",IF((3.14159265*1860/4)*((0.001*'Input data'!$B$20)-(2*'Input data'!$B$28*A208))^2*((0.33333*0.001*'Input data'!$B$20)-(2*'Input data'!$B$28*A208))&lt;0,(3.14159265*1860/4)*((0.001*'Input data'!$B$20)-(2*'Input data'!$B$28*A208))^2*((0.33333*0.001*'Input data'!$B$20)-(2*'Input data'!$B$28*A208)),(3.14159265*1860/4)*((0.001*'Input data'!$B$20)-(2*'Input data'!$B$28*A208))^2*((0.33333*0.001*'Input data'!$B$20)-(2*'Input data'!$B$28*A208))),'Input data'!$B$21)</f>
        <v>0.40680208090393727</v>
      </c>
      <c r="AG208">
        <f t="shared" si="46"/>
        <v>0</v>
      </c>
      <c r="AH208">
        <f t="shared" si="47"/>
        <v>0</v>
      </c>
      <c r="AI208">
        <f t="shared" si="40"/>
        <v>0</v>
      </c>
      <c r="AJ208">
        <f t="shared" si="48"/>
        <v>3000</v>
      </c>
      <c r="AK208">
        <f>IF('Input data'!$B$26="S",'Input data'!$B$22,3.1415*(('Input data'!$B$20*0.0005)-('Input data'!$B$28*A208))^2)</f>
        <v>7.8539816250000026E-3</v>
      </c>
    </row>
    <row r="209" spans="1:37" x14ac:dyDescent="0.2">
      <c r="A209" s="9">
        <f>A208+'Input data'!$B$24</f>
        <v>20.200000000000017</v>
      </c>
      <c r="B209">
        <f>B208+(J208*'Input data'!$B$24)</f>
        <v>5.5993095596439026</v>
      </c>
      <c r="C209">
        <f>C208+(K208*'Input data'!$B$24)</f>
        <v>0</v>
      </c>
      <c r="D209">
        <f>D208+(L208*'Input data'!$B$24)</f>
        <v>-40.380453657742834</v>
      </c>
      <c r="E209">
        <f>IF('Input data'!$B$13=2,'Input data'!$B$25*((0.1036*LN(ABS(P208+1)))+0.8731),IF('Input data'!$B$13=3,'Input data'!$B$25*((0.139*LN(ABS(P208+1)))+0.7503),'Input data'!$B$25))</f>
        <v>5.6301351032067828</v>
      </c>
      <c r="F209">
        <f>E209*COS(RADIANS('Input data'!$B$10))</f>
        <v>5.6301351032067828</v>
      </c>
      <c r="G209">
        <f>E209*SIN(RADIANS('Input data'!$B$10))</f>
        <v>0</v>
      </c>
      <c r="H209">
        <f>1.22*EXP(-0.0001065*(P208+'Input data'!$B$12))</f>
        <v>1.233325864824522</v>
      </c>
      <c r="I209">
        <f t="shared" si="42"/>
        <v>40.380465423509577</v>
      </c>
      <c r="J209">
        <f>-0.5*H209*I209*AK209*'Input data'!$B$19*(B209-F209)/AF209</f>
        <v>7.4715086595768228E-3</v>
      </c>
      <c r="K209">
        <f>-0.5*H209*I209*AK209*'Input data'!$B$19*(C209-G209)/AF209</f>
        <v>0</v>
      </c>
      <c r="L209">
        <f>(-0.5*H209*AK209*I209*'Input data'!$B$19*D209/AF209)-'Input data'!$B$23</f>
        <v>-1.7568074719232385E-2</v>
      </c>
      <c r="M209">
        <f>IF(AF209&gt;0,IF(P208&lt;=Param_1,M208,M208+(B210*'Input data'!$B$24)),M208)</f>
        <v>94.47854469234332</v>
      </c>
      <c r="N209">
        <f>IF(AF209&gt;0,IF(P208&lt;=Param_1,N208,N208+(C210*'Input data'!$B$24)),N208)</f>
        <v>0</v>
      </c>
      <c r="O209">
        <f t="shared" si="41"/>
        <v>0</v>
      </c>
      <c r="P209">
        <f>IF(P208&lt;=-100000,0,IF(AF209&gt;0,IF(P208&lt;Param_1,P208,P208+(D210*'Input data'!$B$24)),P208))</f>
        <v>-102.005790336941</v>
      </c>
      <c r="Q209">
        <f t="shared" si="43"/>
        <v>94.47854469234332</v>
      </c>
      <c r="T209">
        <f t="shared" si="44"/>
        <v>0</v>
      </c>
      <c r="U209">
        <f t="shared" si="45"/>
        <v>0</v>
      </c>
      <c r="V209" s="74">
        <f>IF(X209=0,'Input data'!$Q$22,Q209)</f>
        <v>80.034601194491032</v>
      </c>
      <c r="W209" s="74">
        <f>IF(U209=0,'Input data'!$Q$23,U209)</f>
        <v>0</v>
      </c>
      <c r="X209" s="74">
        <f t="shared" si="38"/>
        <v>0</v>
      </c>
      <c r="Y209">
        <f>IF(P208&lt;Param_1,Y208,A210*'Input data'!$B$25*SIN(RADIANS('Input data'!$B$10)))</f>
        <v>0</v>
      </c>
      <c r="Z209">
        <f>IF(P208&lt;Param_1,Z208,A210*'Input data'!$B$25*COS(RADIANS('Input data'!$B$10)))</f>
        <v>62.083333333333186</v>
      </c>
      <c r="AA209">
        <f t="shared" si="49"/>
        <v>14.899999999999963</v>
      </c>
      <c r="AB209">
        <f t="shared" si="50"/>
        <v>5.1999999999999975</v>
      </c>
      <c r="AC209">
        <f>IF(ROUND(A209*10,3)='Input data'!$B$14*10,M209,0)</f>
        <v>0</v>
      </c>
      <c r="AD209">
        <f>IF(ROUND(A209*10,3)='Input data'!$B$14*10,N209,0)</f>
        <v>0</v>
      </c>
      <c r="AE209">
        <f>IF(ROUND(A209*10,3)='Input data'!$B$14*10,P209,0)</f>
        <v>0</v>
      </c>
      <c r="AF209">
        <f>IF('Input data'!$B$26="C",IF((3.14159265*1860/4)*((0.001*'Input data'!$B$20)-(2*'Input data'!$B$28*A209))^2*((0.33333*0.001*'Input data'!$B$20)-(2*'Input data'!$B$28*A209))&lt;0,(3.14159265*1860/4)*((0.001*'Input data'!$B$20)-(2*'Input data'!$B$28*A209))^2*((0.33333*0.001*'Input data'!$B$20)-(2*'Input data'!$B$28*A209)),(3.14159265*1860/4)*((0.001*'Input data'!$B$20)-(2*'Input data'!$B$28*A209))^2*((0.33333*0.001*'Input data'!$B$20)-(2*'Input data'!$B$28*A209))),'Input data'!$B$21)</f>
        <v>0.40680208090393727</v>
      </c>
      <c r="AG209">
        <f t="shared" si="46"/>
        <v>0</v>
      </c>
      <c r="AH209">
        <f t="shared" si="47"/>
        <v>0</v>
      </c>
      <c r="AI209">
        <f t="shared" si="40"/>
        <v>0</v>
      </c>
      <c r="AJ209">
        <f t="shared" si="48"/>
        <v>3000</v>
      </c>
      <c r="AK209">
        <f>IF('Input data'!$B$26="S",'Input data'!$B$22,3.1415*(('Input data'!$B$20*0.0005)-('Input data'!$B$28*A209))^2)</f>
        <v>7.8539816250000026E-3</v>
      </c>
    </row>
    <row r="210" spans="1:37" x14ac:dyDescent="0.2">
      <c r="A210" s="9">
        <f>A209+'Input data'!$B$24</f>
        <v>20.300000000000018</v>
      </c>
      <c r="B210">
        <f>B209+(J209*'Input data'!$B$24)</f>
        <v>5.6000567105098602</v>
      </c>
      <c r="C210">
        <f>C209+(K209*'Input data'!$B$24)</f>
        <v>0</v>
      </c>
      <c r="D210">
        <f>D209+(L209*'Input data'!$B$24)</f>
        <v>-40.382210465214754</v>
      </c>
      <c r="E210">
        <f>IF('Input data'!$B$13=2,'Input data'!$B$25*((0.1036*LN(ABS(P209+1)))+0.8731),IF('Input data'!$B$13=3,'Input data'!$B$25*((0.139*LN(ABS(P209+1)))+0.7503),'Input data'!$B$25))</f>
        <v>5.6301351032067828</v>
      </c>
      <c r="F210">
        <f>E210*COS(RADIANS('Input data'!$B$10))</f>
        <v>5.6301351032067828</v>
      </c>
      <c r="G210">
        <f>E210*SIN(RADIANS('Input data'!$B$10))</f>
        <v>0</v>
      </c>
      <c r="H210">
        <f>1.22*EXP(-0.0001065*(P209+'Input data'!$B$12))</f>
        <v>1.233325864824522</v>
      </c>
      <c r="I210">
        <f t="shared" si="42"/>
        <v>40.382221667048078</v>
      </c>
      <c r="J210">
        <f>-0.5*H210*I210*AK210*'Input data'!$B$19*(B210-F210)/AF210</f>
        <v>7.2907309852654105E-3</v>
      </c>
      <c r="K210">
        <f>-0.5*H210*I210*AK210*'Input data'!$B$19*(C210-G210)/AF210</f>
        <v>0</v>
      </c>
      <c r="L210">
        <f>(-0.5*H210*AK210*I210*'Input data'!$B$19*D210/AF210)-'Input data'!$B$23</f>
        <v>-1.6716561491236348E-2</v>
      </c>
      <c r="M210">
        <f>IF(AF210&gt;0,IF(P209&lt;=Param_1,M209,M209+(B211*'Input data'!$B$24)),M209)</f>
        <v>94.47854469234332</v>
      </c>
      <c r="N210">
        <f>IF(AF210&gt;0,IF(P209&lt;=Param_1,N209,N209+(C211*'Input data'!$B$24)),N209)</f>
        <v>0</v>
      </c>
      <c r="O210">
        <f t="shared" si="41"/>
        <v>0</v>
      </c>
      <c r="P210">
        <f>IF(P209&lt;=-100000,0,IF(AF210&gt;0,IF(P209&lt;Param_1,P209,P209+(D211*'Input data'!$B$24)),P209))</f>
        <v>-102.005790336941</v>
      </c>
      <c r="Q210">
        <f t="shared" si="43"/>
        <v>94.47854469234332</v>
      </c>
      <c r="T210">
        <f t="shared" si="44"/>
        <v>0</v>
      </c>
      <c r="U210">
        <f t="shared" si="45"/>
        <v>0</v>
      </c>
      <c r="V210" s="74">
        <f>IF(X210=0,'Input data'!$Q$22,Q210)</f>
        <v>80.034601194491032</v>
      </c>
      <c r="W210" s="74">
        <f>IF(U210=0,'Input data'!$Q$23,U210)</f>
        <v>0</v>
      </c>
      <c r="X210" s="74">
        <f t="shared" si="38"/>
        <v>0</v>
      </c>
      <c r="Y210">
        <f>IF(P209&lt;Param_1,Y209,A211*'Input data'!$B$25*SIN(RADIANS('Input data'!$B$10)))</f>
        <v>0</v>
      </c>
      <c r="Z210">
        <f>IF(P209&lt;Param_1,Z209,A211*'Input data'!$B$25*COS(RADIANS('Input data'!$B$10)))</f>
        <v>62.083333333333186</v>
      </c>
      <c r="AA210">
        <f t="shared" si="49"/>
        <v>14.899999999999963</v>
      </c>
      <c r="AB210">
        <f t="shared" si="50"/>
        <v>5.1999999999999975</v>
      </c>
      <c r="AC210">
        <f>IF(ROUND(A210*10,3)='Input data'!$B$14*10,M210,0)</f>
        <v>0</v>
      </c>
      <c r="AD210">
        <f>IF(ROUND(A210*10,3)='Input data'!$B$14*10,N210,0)</f>
        <v>0</v>
      </c>
      <c r="AE210">
        <f>IF(ROUND(A210*10,3)='Input data'!$B$14*10,P210,0)</f>
        <v>0</v>
      </c>
      <c r="AF210">
        <f>IF('Input data'!$B$26="C",IF((3.14159265*1860/4)*((0.001*'Input data'!$B$20)-(2*'Input data'!$B$28*A210))^2*((0.33333*0.001*'Input data'!$B$20)-(2*'Input data'!$B$28*A210))&lt;0,(3.14159265*1860/4)*((0.001*'Input data'!$B$20)-(2*'Input data'!$B$28*A210))^2*((0.33333*0.001*'Input data'!$B$20)-(2*'Input data'!$B$28*A210)),(3.14159265*1860/4)*((0.001*'Input data'!$B$20)-(2*'Input data'!$B$28*A210))^2*((0.33333*0.001*'Input data'!$B$20)-(2*'Input data'!$B$28*A210))),'Input data'!$B$21)</f>
        <v>0.40680208090393727</v>
      </c>
      <c r="AG210">
        <f t="shared" si="46"/>
        <v>0</v>
      </c>
      <c r="AH210">
        <f t="shared" si="47"/>
        <v>0</v>
      </c>
      <c r="AI210">
        <f t="shared" si="40"/>
        <v>0</v>
      </c>
      <c r="AJ210">
        <f t="shared" si="48"/>
        <v>3000</v>
      </c>
      <c r="AK210">
        <f>IF('Input data'!$B$26="S",'Input data'!$B$22,3.1415*(('Input data'!$B$20*0.0005)-('Input data'!$B$28*A210))^2)</f>
        <v>7.8539816250000026E-3</v>
      </c>
    </row>
    <row r="211" spans="1:37" x14ac:dyDescent="0.2">
      <c r="A211" s="9">
        <f>A210+'Input data'!$B$24</f>
        <v>20.40000000000002</v>
      </c>
      <c r="B211">
        <f>B210+(J210*'Input data'!$B$24)</f>
        <v>5.6007857836083863</v>
      </c>
      <c r="C211">
        <f>C210+(K210*'Input data'!$B$24)</f>
        <v>0</v>
      </c>
      <c r="D211">
        <f>D210+(L210*'Input data'!$B$24)</f>
        <v>-40.383882121363875</v>
      </c>
      <c r="E211">
        <f>IF('Input data'!$B$13=2,'Input data'!$B$25*((0.1036*LN(ABS(P210+1)))+0.8731),IF('Input data'!$B$13=3,'Input data'!$B$25*((0.139*LN(ABS(P210+1)))+0.7503),'Input data'!$B$25))</f>
        <v>5.6301351032067828</v>
      </c>
      <c r="F211">
        <f>E211*COS(RADIANS('Input data'!$B$10))</f>
        <v>5.6301351032067828</v>
      </c>
      <c r="G211">
        <f>E211*SIN(RADIANS('Input data'!$B$10))</f>
        <v>0</v>
      </c>
      <c r="H211">
        <f>1.22*EXP(-0.0001065*(P210+'Input data'!$B$12))</f>
        <v>1.233325864824522</v>
      </c>
      <c r="I211">
        <f t="shared" si="42"/>
        <v>40.383892786292577</v>
      </c>
      <c r="J211">
        <f>-0.5*H211*I211*AK211*'Input data'!$B$19*(B211-F211)/AF211</f>
        <v>7.1143046406557074E-3</v>
      </c>
      <c r="K211">
        <f>-0.5*H211*I211*AK211*'Input data'!$B$19*(C211-G211)/AF211</f>
        <v>0</v>
      </c>
      <c r="L211">
        <f>(-0.5*H211*AK211*I211*'Input data'!$B$19*D211/AF211)-'Input data'!$B$23</f>
        <v>-1.5906286242865164E-2</v>
      </c>
      <c r="M211">
        <f>IF(AF211&gt;0,IF(P210&lt;=Param_1,M210,M210+(B212*'Input data'!$B$24)),M210)</f>
        <v>94.47854469234332</v>
      </c>
      <c r="N211">
        <f>IF(AF211&gt;0,IF(P210&lt;=Param_1,N210,N210+(C212*'Input data'!$B$24)),N210)</f>
        <v>0</v>
      </c>
      <c r="O211">
        <f t="shared" si="41"/>
        <v>0</v>
      </c>
      <c r="P211">
        <f>IF(P210&lt;=-100000,0,IF(AF211&gt;0,IF(P210&lt;Param_1,P210,P210+(D212*'Input data'!$B$24)),P210))</f>
        <v>-102.005790336941</v>
      </c>
      <c r="Q211">
        <f t="shared" si="43"/>
        <v>94.47854469234332</v>
      </c>
      <c r="T211">
        <f t="shared" si="44"/>
        <v>0</v>
      </c>
      <c r="U211">
        <f t="shared" si="45"/>
        <v>0</v>
      </c>
      <c r="V211" s="74">
        <f>IF(X211=0,'Input data'!$Q$22,Q211)</f>
        <v>80.034601194491032</v>
      </c>
      <c r="W211" s="74">
        <f>IF(U211=0,'Input data'!$Q$23,U211)</f>
        <v>0</v>
      </c>
      <c r="X211" s="74">
        <f t="shared" si="38"/>
        <v>0</v>
      </c>
      <c r="Y211">
        <f>IF(P210&lt;Param_1,Y210,A212*'Input data'!$B$25*SIN(RADIANS('Input data'!$B$10)))</f>
        <v>0</v>
      </c>
      <c r="Z211">
        <f>IF(P210&lt;Param_1,Z210,A212*'Input data'!$B$25*COS(RADIANS('Input data'!$B$10)))</f>
        <v>62.083333333333186</v>
      </c>
      <c r="AA211">
        <f t="shared" si="49"/>
        <v>14.899999999999963</v>
      </c>
      <c r="AB211">
        <f t="shared" si="50"/>
        <v>5.1999999999999975</v>
      </c>
      <c r="AC211">
        <f>IF(ROUND(A211*10,3)='Input data'!$B$14*10,M211,0)</f>
        <v>0</v>
      </c>
      <c r="AD211">
        <f>IF(ROUND(A211*10,3)='Input data'!$B$14*10,N211,0)</f>
        <v>0</v>
      </c>
      <c r="AE211">
        <f>IF(ROUND(A211*10,3)='Input data'!$B$14*10,P211,0)</f>
        <v>0</v>
      </c>
      <c r="AF211">
        <f>IF('Input data'!$B$26="C",IF((3.14159265*1860/4)*((0.001*'Input data'!$B$20)-(2*'Input data'!$B$28*A211))^2*((0.33333*0.001*'Input data'!$B$20)-(2*'Input data'!$B$28*A211))&lt;0,(3.14159265*1860/4)*((0.001*'Input data'!$B$20)-(2*'Input data'!$B$28*A211))^2*((0.33333*0.001*'Input data'!$B$20)-(2*'Input data'!$B$28*A211)),(3.14159265*1860/4)*((0.001*'Input data'!$B$20)-(2*'Input data'!$B$28*A211))^2*((0.33333*0.001*'Input data'!$B$20)-(2*'Input data'!$B$28*A211))),'Input data'!$B$21)</f>
        <v>0.40680208090393727</v>
      </c>
      <c r="AG211">
        <f t="shared" si="46"/>
        <v>0</v>
      </c>
      <c r="AH211">
        <f t="shared" si="47"/>
        <v>0</v>
      </c>
      <c r="AI211">
        <f t="shared" si="40"/>
        <v>0</v>
      </c>
      <c r="AJ211">
        <f t="shared" si="48"/>
        <v>3000</v>
      </c>
      <c r="AK211">
        <f>IF('Input data'!$B$26="S",'Input data'!$B$22,3.1415*(('Input data'!$B$20*0.0005)-('Input data'!$B$28*A211))^2)</f>
        <v>7.8539816250000026E-3</v>
      </c>
    </row>
    <row r="212" spans="1:37" x14ac:dyDescent="0.2">
      <c r="A212" s="9">
        <f>A211+'Input data'!$B$24</f>
        <v>20.500000000000021</v>
      </c>
      <c r="B212">
        <f>B211+(J211*'Input data'!$B$24)</f>
        <v>5.6014972140724515</v>
      </c>
      <c r="C212">
        <f>C211+(K211*'Input data'!$B$24)</f>
        <v>0</v>
      </c>
      <c r="D212">
        <f>D211+(L211*'Input data'!$B$24)</f>
        <v>-40.385472749988161</v>
      </c>
      <c r="E212">
        <f>IF('Input data'!$B$13=2,'Input data'!$B$25*((0.1036*LN(ABS(P211+1)))+0.8731),IF('Input data'!$B$13=3,'Input data'!$B$25*((0.139*LN(ABS(P211+1)))+0.7503),'Input data'!$B$25))</f>
        <v>5.6301351032067828</v>
      </c>
      <c r="F212">
        <f>E212*COS(RADIANS('Input data'!$B$10))</f>
        <v>5.6301351032067828</v>
      </c>
      <c r="G212">
        <f>E212*SIN(RADIANS('Input data'!$B$10))</f>
        <v>0</v>
      </c>
      <c r="H212">
        <f>1.22*EXP(-0.0001065*(P211+'Input data'!$B$12))</f>
        <v>1.233325864824522</v>
      </c>
      <c r="I212">
        <f t="shared" si="42"/>
        <v>40.385482903745626</v>
      </c>
      <c r="J212">
        <f>-0.5*H212*I212*AK212*'Input data'!$B$19*(B212-F212)/AF212</f>
        <v>6.9421265151432153E-3</v>
      </c>
      <c r="K212">
        <f>-0.5*H212*I212*AK212*'Input data'!$B$19*(C212-G212)/AF212</f>
        <v>0</v>
      </c>
      <c r="L212">
        <f>(-0.5*H212*AK212*I212*'Input data'!$B$19*D212/AF212)-'Input data'!$B$23</f>
        <v>-1.5135255109013812E-2</v>
      </c>
      <c r="M212">
        <f>IF(AF212&gt;0,IF(P211&lt;=Param_1,M211,M211+(B213*'Input data'!$B$24)),M211)</f>
        <v>94.47854469234332</v>
      </c>
      <c r="N212">
        <f>IF(AF212&gt;0,IF(P211&lt;=Param_1,N211,N211+(C213*'Input data'!$B$24)),N211)</f>
        <v>0</v>
      </c>
      <c r="O212">
        <f t="shared" si="41"/>
        <v>0</v>
      </c>
      <c r="P212">
        <f>IF(P211&lt;=-100000,0,IF(AF212&gt;0,IF(P211&lt;Param_1,P211,P211+(D213*'Input data'!$B$24)),P211))</f>
        <v>-102.005790336941</v>
      </c>
      <c r="Q212">
        <f t="shared" si="43"/>
        <v>94.47854469234332</v>
      </c>
      <c r="T212">
        <f t="shared" si="44"/>
        <v>0</v>
      </c>
      <c r="U212">
        <f t="shared" si="45"/>
        <v>0</v>
      </c>
      <c r="V212" s="74">
        <f>IF(X212=0,'Input data'!$Q$22,Q212)</f>
        <v>80.034601194491032</v>
      </c>
      <c r="W212" s="74">
        <f>IF(U212=0,'Input data'!$Q$23,U212)</f>
        <v>0</v>
      </c>
      <c r="X212" s="74">
        <f t="shared" si="38"/>
        <v>0</v>
      </c>
      <c r="Y212">
        <f>IF(P211&lt;Param_1,Y211,A213*'Input data'!$B$25*SIN(RADIANS('Input data'!$B$10)))</f>
        <v>0</v>
      </c>
      <c r="Z212">
        <f>IF(P211&lt;Param_1,Z211,A213*'Input data'!$B$25*COS(RADIANS('Input data'!$B$10)))</f>
        <v>62.083333333333186</v>
      </c>
      <c r="AA212">
        <f t="shared" si="49"/>
        <v>14.899999999999963</v>
      </c>
      <c r="AB212">
        <f t="shared" si="50"/>
        <v>5.1999999999999975</v>
      </c>
      <c r="AC212">
        <f>IF(ROUND(A212*10,3)='Input data'!$B$14*10,M212,0)</f>
        <v>0</v>
      </c>
      <c r="AD212">
        <f>IF(ROUND(A212*10,3)='Input data'!$B$14*10,N212,0)</f>
        <v>0</v>
      </c>
      <c r="AE212">
        <f>IF(ROUND(A212*10,3)='Input data'!$B$14*10,P212,0)</f>
        <v>0</v>
      </c>
      <c r="AF212">
        <f>IF('Input data'!$B$26="C",IF((3.14159265*1860/4)*((0.001*'Input data'!$B$20)-(2*'Input data'!$B$28*A212))^2*((0.33333*0.001*'Input data'!$B$20)-(2*'Input data'!$B$28*A212))&lt;0,(3.14159265*1860/4)*((0.001*'Input data'!$B$20)-(2*'Input data'!$B$28*A212))^2*((0.33333*0.001*'Input data'!$B$20)-(2*'Input data'!$B$28*A212)),(3.14159265*1860/4)*((0.001*'Input data'!$B$20)-(2*'Input data'!$B$28*A212))^2*((0.33333*0.001*'Input data'!$B$20)-(2*'Input data'!$B$28*A212))),'Input data'!$B$21)</f>
        <v>0.40680208090393727</v>
      </c>
      <c r="AG212">
        <f t="shared" si="46"/>
        <v>0</v>
      </c>
      <c r="AH212">
        <f t="shared" si="47"/>
        <v>0</v>
      </c>
      <c r="AI212">
        <f t="shared" si="40"/>
        <v>0</v>
      </c>
      <c r="AJ212">
        <f t="shared" si="48"/>
        <v>3000</v>
      </c>
      <c r="AK212">
        <f>IF('Input data'!$B$26="S",'Input data'!$B$22,3.1415*(('Input data'!$B$20*0.0005)-('Input data'!$B$28*A212))^2)</f>
        <v>7.8539816250000026E-3</v>
      </c>
    </row>
    <row r="213" spans="1:37" x14ac:dyDescent="0.2">
      <c r="A213" s="9">
        <f>A212+'Input data'!$B$24</f>
        <v>20.600000000000023</v>
      </c>
      <c r="B213">
        <f>B212+(J212*'Input data'!$B$24)</f>
        <v>5.6021914267239659</v>
      </c>
      <c r="C213">
        <f>C212+(K212*'Input data'!$B$24)</f>
        <v>0</v>
      </c>
      <c r="D213">
        <f>D212+(L212*'Input data'!$B$24)</f>
        <v>-40.386986275499062</v>
      </c>
      <c r="E213">
        <f>IF('Input data'!$B$13=2,'Input data'!$B$25*((0.1036*LN(ABS(P212+1)))+0.8731),IF('Input data'!$B$13=3,'Input data'!$B$25*((0.139*LN(ABS(P212+1)))+0.7503),'Input data'!$B$25))</f>
        <v>5.6301351032067828</v>
      </c>
      <c r="F213">
        <f>E213*COS(RADIANS('Input data'!$B$10))</f>
        <v>5.6301351032067828</v>
      </c>
      <c r="G213">
        <f>E213*SIN(RADIANS('Input data'!$B$10))</f>
        <v>0</v>
      </c>
      <c r="H213">
        <f>1.22*EXP(-0.0001065*(P212+'Input data'!$B$12))</f>
        <v>1.233325864824522</v>
      </c>
      <c r="I213">
        <f t="shared" si="42"/>
        <v>40.386995942585344</v>
      </c>
      <c r="J213">
        <f>-0.5*H213*I213*AK213*'Input data'!$B$19*(B213-F213)/AF213</f>
        <v>6.7740958244788011E-3</v>
      </c>
      <c r="K213">
        <f>-0.5*H213*I213*AK213*'Input data'!$B$19*(C213-G213)/AF213</f>
        <v>0</v>
      </c>
      <c r="L213">
        <f>(-0.5*H213*AK213*I213*'Input data'!$B$19*D213/AF213)-'Input data'!$B$23</f>
        <v>-1.4401570320449864E-2</v>
      </c>
      <c r="M213">
        <f>IF(AF213&gt;0,IF(P212&lt;=Param_1,M212,M212+(B214*'Input data'!$B$24)),M212)</f>
        <v>94.47854469234332</v>
      </c>
      <c r="N213">
        <f>IF(AF213&gt;0,IF(P212&lt;=Param_1,N212,N212+(C214*'Input data'!$B$24)),N212)</f>
        <v>0</v>
      </c>
      <c r="O213">
        <f t="shared" si="41"/>
        <v>0</v>
      </c>
      <c r="P213">
        <f>IF(P212&lt;=-100000,0,IF(AF213&gt;0,IF(P212&lt;Param_1,P212,P212+(D214*'Input data'!$B$24)),P212))</f>
        <v>-102.005790336941</v>
      </c>
      <c r="Q213">
        <f t="shared" si="43"/>
        <v>94.47854469234332</v>
      </c>
      <c r="T213">
        <f t="shared" si="44"/>
        <v>0</v>
      </c>
      <c r="U213">
        <f t="shared" si="45"/>
        <v>0</v>
      </c>
      <c r="V213" s="74">
        <f>IF(X213=0,'Input data'!$Q$22,Q213)</f>
        <v>80.034601194491032</v>
      </c>
      <c r="W213" s="74">
        <f>IF(U213=0,'Input data'!$Q$23,U213)</f>
        <v>0</v>
      </c>
      <c r="X213" s="74">
        <f t="shared" si="38"/>
        <v>0</v>
      </c>
      <c r="Y213">
        <f>IF(P212&lt;Param_1,Y212,A214*'Input data'!$B$25*SIN(RADIANS('Input data'!$B$10)))</f>
        <v>0</v>
      </c>
      <c r="Z213">
        <f>IF(P212&lt;Param_1,Z212,A214*'Input data'!$B$25*COS(RADIANS('Input data'!$B$10)))</f>
        <v>62.083333333333186</v>
      </c>
      <c r="AA213">
        <f t="shared" si="49"/>
        <v>14.899999999999963</v>
      </c>
      <c r="AB213">
        <f t="shared" si="50"/>
        <v>5.1999999999999975</v>
      </c>
      <c r="AC213">
        <f>IF(ROUND(A213*10,3)='Input data'!$B$14*10,M213,0)</f>
        <v>0</v>
      </c>
      <c r="AD213">
        <f>IF(ROUND(A213*10,3)='Input data'!$B$14*10,N213,0)</f>
        <v>0</v>
      </c>
      <c r="AE213">
        <f>IF(ROUND(A213*10,3)='Input data'!$B$14*10,P213,0)</f>
        <v>0</v>
      </c>
      <c r="AF213">
        <f>IF('Input data'!$B$26="C",IF((3.14159265*1860/4)*((0.001*'Input data'!$B$20)-(2*'Input data'!$B$28*A213))^2*((0.33333*0.001*'Input data'!$B$20)-(2*'Input data'!$B$28*A213))&lt;0,(3.14159265*1860/4)*((0.001*'Input data'!$B$20)-(2*'Input data'!$B$28*A213))^2*((0.33333*0.001*'Input data'!$B$20)-(2*'Input data'!$B$28*A213)),(3.14159265*1860/4)*((0.001*'Input data'!$B$20)-(2*'Input data'!$B$28*A213))^2*((0.33333*0.001*'Input data'!$B$20)-(2*'Input data'!$B$28*A213))),'Input data'!$B$21)</f>
        <v>0.40680208090393727</v>
      </c>
      <c r="AG213">
        <f t="shared" si="46"/>
        <v>0</v>
      </c>
      <c r="AH213">
        <f t="shared" si="47"/>
        <v>0</v>
      </c>
      <c r="AI213">
        <f t="shared" si="40"/>
        <v>0</v>
      </c>
      <c r="AJ213">
        <f t="shared" si="48"/>
        <v>3000</v>
      </c>
      <c r="AK213">
        <f>IF('Input data'!$B$26="S",'Input data'!$B$22,3.1415*(('Input data'!$B$20*0.0005)-('Input data'!$B$28*A213))^2)</f>
        <v>7.8539816250000026E-3</v>
      </c>
    </row>
    <row r="214" spans="1:37" x14ac:dyDescent="0.2">
      <c r="A214" s="9">
        <f>A213+'Input data'!$B$24</f>
        <v>20.700000000000024</v>
      </c>
      <c r="B214">
        <f>B213+(J213*'Input data'!$B$24)</f>
        <v>5.6028688363064134</v>
      </c>
      <c r="C214">
        <f>C213+(K213*'Input data'!$B$24)</f>
        <v>0</v>
      </c>
      <c r="D214">
        <f>D213+(L213*'Input data'!$B$24)</f>
        <v>-40.388426432531105</v>
      </c>
      <c r="E214">
        <f>IF('Input data'!$B$13=2,'Input data'!$B$25*((0.1036*LN(ABS(P213+1)))+0.8731),IF('Input data'!$B$13=3,'Input data'!$B$25*((0.139*LN(ABS(P213+1)))+0.7503),'Input data'!$B$25))</f>
        <v>5.6301351032067828</v>
      </c>
      <c r="F214">
        <f>E214*COS(RADIANS('Input data'!$B$10))</f>
        <v>5.6301351032067828</v>
      </c>
      <c r="G214">
        <f>E214*SIN(RADIANS('Input data'!$B$10))</f>
        <v>0</v>
      </c>
      <c r="H214">
        <f>1.22*EXP(-0.0001065*(P213+'Input data'!$B$12))</f>
        <v>1.233325864824522</v>
      </c>
      <c r="I214">
        <f t="shared" si="42"/>
        <v>40.388435636272021</v>
      </c>
      <c r="J214">
        <f>-0.5*H214*I214*AK214*'Input data'!$B$19*(B214-F214)/AF214</f>
        <v>6.6101140668155768E-3</v>
      </c>
      <c r="K214">
        <f>-0.5*H214*I214*AK214*'Input data'!$B$19*(C214-G214)/AF214</f>
        <v>0</v>
      </c>
      <c r="L214">
        <f>(-0.5*H214*AK214*I214*'Input data'!$B$19*D214/AF214)-'Input data'!$B$23</f>
        <v>-1.370342560157134E-2</v>
      </c>
      <c r="M214">
        <f>IF(AF214&gt;0,IF(P213&lt;=Param_1,M213,M213+(B215*'Input data'!$B$24)),M213)</f>
        <v>94.47854469234332</v>
      </c>
      <c r="N214">
        <f>IF(AF214&gt;0,IF(P213&lt;=Param_1,N213,N213+(C215*'Input data'!$B$24)),N213)</f>
        <v>0</v>
      </c>
      <c r="O214">
        <f t="shared" si="41"/>
        <v>0</v>
      </c>
      <c r="P214">
        <f>IF(P213&lt;=-100000,0,IF(AF214&gt;0,IF(P213&lt;Param_1,P213,P213+(D215*'Input data'!$B$24)),P213))</f>
        <v>-102.005790336941</v>
      </c>
      <c r="Q214">
        <f t="shared" si="43"/>
        <v>94.47854469234332</v>
      </c>
      <c r="T214">
        <f t="shared" si="44"/>
        <v>0</v>
      </c>
      <c r="U214">
        <f t="shared" si="45"/>
        <v>0</v>
      </c>
      <c r="V214" s="74">
        <f>IF(X214=0,'Input data'!$Q$22,Q214)</f>
        <v>80.034601194491032</v>
      </c>
      <c r="W214" s="74">
        <f>IF(U214=0,'Input data'!$Q$23,U214)</f>
        <v>0</v>
      </c>
      <c r="X214" s="74">
        <f t="shared" si="38"/>
        <v>0</v>
      </c>
      <c r="Y214">
        <f>IF(P213&lt;Param_1,Y213,A215*'Input data'!$B$25*SIN(RADIANS('Input data'!$B$10)))</f>
        <v>0</v>
      </c>
      <c r="Z214">
        <f>IF(P213&lt;Param_1,Z213,A215*'Input data'!$B$25*COS(RADIANS('Input data'!$B$10)))</f>
        <v>62.083333333333186</v>
      </c>
      <c r="AA214">
        <f t="shared" si="49"/>
        <v>14.899999999999963</v>
      </c>
      <c r="AB214">
        <f t="shared" si="50"/>
        <v>5.1999999999999975</v>
      </c>
      <c r="AC214">
        <f>IF(ROUND(A214*10,3)='Input data'!$B$14*10,M214,0)</f>
        <v>0</v>
      </c>
      <c r="AD214">
        <f>IF(ROUND(A214*10,3)='Input data'!$B$14*10,N214,0)</f>
        <v>0</v>
      </c>
      <c r="AE214">
        <f>IF(ROUND(A214*10,3)='Input data'!$B$14*10,P214,0)</f>
        <v>0</v>
      </c>
      <c r="AF214">
        <f>IF('Input data'!$B$26="C",IF((3.14159265*1860/4)*((0.001*'Input data'!$B$20)-(2*'Input data'!$B$28*A214))^2*((0.33333*0.001*'Input data'!$B$20)-(2*'Input data'!$B$28*A214))&lt;0,(3.14159265*1860/4)*((0.001*'Input data'!$B$20)-(2*'Input data'!$B$28*A214))^2*((0.33333*0.001*'Input data'!$B$20)-(2*'Input data'!$B$28*A214)),(3.14159265*1860/4)*((0.001*'Input data'!$B$20)-(2*'Input data'!$B$28*A214))^2*((0.33333*0.001*'Input data'!$B$20)-(2*'Input data'!$B$28*A214))),'Input data'!$B$21)</f>
        <v>0.40680208090393727</v>
      </c>
      <c r="AG214">
        <f t="shared" si="46"/>
        <v>0</v>
      </c>
      <c r="AH214">
        <f t="shared" si="47"/>
        <v>0</v>
      </c>
      <c r="AI214">
        <f t="shared" si="40"/>
        <v>0</v>
      </c>
      <c r="AJ214">
        <f t="shared" si="48"/>
        <v>3000</v>
      </c>
      <c r="AK214">
        <f>IF('Input data'!$B$26="S",'Input data'!$B$22,3.1415*(('Input data'!$B$20*0.0005)-('Input data'!$B$28*A214))^2)</f>
        <v>7.8539816250000026E-3</v>
      </c>
    </row>
    <row r="215" spans="1:37" x14ac:dyDescent="0.2">
      <c r="A215" s="9">
        <f>A214+'Input data'!$B$24</f>
        <v>20.800000000000026</v>
      </c>
      <c r="B215">
        <f>B214+(J214*'Input data'!$B$24)</f>
        <v>5.6035298477130953</v>
      </c>
      <c r="C215">
        <f>C214+(K214*'Input data'!$B$24)</f>
        <v>0</v>
      </c>
      <c r="D215">
        <f>D214+(L214*'Input data'!$B$24)</f>
        <v>-40.389796775091263</v>
      </c>
      <c r="E215">
        <f>IF('Input data'!$B$13=2,'Input data'!$B$25*((0.1036*LN(ABS(P214+1)))+0.8731),IF('Input data'!$B$13=3,'Input data'!$B$25*((0.139*LN(ABS(P214+1)))+0.7503),'Input data'!$B$25))</f>
        <v>5.6301351032067828</v>
      </c>
      <c r="F215">
        <f>E215*COS(RADIANS('Input data'!$B$10))</f>
        <v>5.6301351032067828</v>
      </c>
      <c r="G215">
        <f>E215*SIN(RADIANS('Input data'!$B$10))</f>
        <v>0</v>
      </c>
      <c r="H215">
        <f>1.22*EXP(-0.0001065*(P214+'Input data'!$B$12))</f>
        <v>1.233325864824522</v>
      </c>
      <c r="I215">
        <f t="shared" si="42"/>
        <v>40.389805537694691</v>
      </c>
      <c r="J215">
        <f>-0.5*H215*I215*AK215*'Input data'!$B$19*(B215-F215)/AF215</f>
        <v>6.4500849789333389E-3</v>
      </c>
      <c r="K215">
        <f>-0.5*H215*I215*AK215*'Input data'!$B$19*(C215-G215)/AF215</f>
        <v>0</v>
      </c>
      <c r="L215">
        <f>(-0.5*H215*AK215*I215*'Input data'!$B$19*D215/AF215)-'Input data'!$B$23</f>
        <v>-1.3039101785816243E-2</v>
      </c>
      <c r="M215">
        <f>IF(AF215&gt;0,IF(P214&lt;=Param_1,M214,M214+(B216*'Input data'!$B$24)),M214)</f>
        <v>94.47854469234332</v>
      </c>
      <c r="N215">
        <f>IF(AF215&gt;0,IF(P214&lt;=Param_1,N214,N214+(C216*'Input data'!$B$24)),N214)</f>
        <v>0</v>
      </c>
      <c r="O215">
        <f t="shared" si="41"/>
        <v>0</v>
      </c>
      <c r="P215">
        <f>IF(P214&lt;=-100000,0,IF(AF215&gt;0,IF(P214&lt;Param_1,P214,P214+(D216*'Input data'!$B$24)),P214))</f>
        <v>-102.005790336941</v>
      </c>
      <c r="Q215">
        <f t="shared" si="43"/>
        <v>94.47854469234332</v>
      </c>
      <c r="T215">
        <f t="shared" si="44"/>
        <v>0</v>
      </c>
      <c r="U215">
        <f t="shared" si="45"/>
        <v>0</v>
      </c>
      <c r="V215" s="74">
        <f>IF(X215=0,'Input data'!$Q$22,Q215)</f>
        <v>80.034601194491032</v>
      </c>
      <c r="W215" s="74">
        <f>IF(U215=0,'Input data'!$Q$23,U215)</f>
        <v>0</v>
      </c>
      <c r="X215" s="74">
        <f t="shared" si="38"/>
        <v>0</v>
      </c>
      <c r="Y215">
        <f>IF(P214&lt;Param_1,Y214,A216*'Input data'!$B$25*SIN(RADIANS('Input data'!$B$10)))</f>
        <v>0</v>
      </c>
      <c r="Z215">
        <f>IF(P214&lt;Param_1,Z214,A216*'Input data'!$B$25*COS(RADIANS('Input data'!$B$10)))</f>
        <v>62.083333333333186</v>
      </c>
      <c r="AA215">
        <f t="shared" si="49"/>
        <v>14.899999999999963</v>
      </c>
      <c r="AB215">
        <f t="shared" si="50"/>
        <v>5.1999999999999975</v>
      </c>
      <c r="AC215">
        <f>IF(ROUND(A215*10,3)='Input data'!$B$14*10,M215,0)</f>
        <v>0</v>
      </c>
      <c r="AD215">
        <f>IF(ROUND(A215*10,3)='Input data'!$B$14*10,N215,0)</f>
        <v>0</v>
      </c>
      <c r="AE215">
        <f>IF(ROUND(A215*10,3)='Input data'!$B$14*10,P215,0)</f>
        <v>0</v>
      </c>
      <c r="AF215">
        <f>IF('Input data'!$B$26="C",IF((3.14159265*1860/4)*((0.001*'Input data'!$B$20)-(2*'Input data'!$B$28*A215))^2*((0.33333*0.001*'Input data'!$B$20)-(2*'Input data'!$B$28*A215))&lt;0,(3.14159265*1860/4)*((0.001*'Input data'!$B$20)-(2*'Input data'!$B$28*A215))^2*((0.33333*0.001*'Input data'!$B$20)-(2*'Input data'!$B$28*A215)),(3.14159265*1860/4)*((0.001*'Input data'!$B$20)-(2*'Input data'!$B$28*A215))^2*((0.33333*0.001*'Input data'!$B$20)-(2*'Input data'!$B$28*A215))),'Input data'!$B$21)</f>
        <v>0.40680208090393727</v>
      </c>
      <c r="AG215">
        <f t="shared" si="46"/>
        <v>0</v>
      </c>
      <c r="AH215">
        <f t="shared" si="47"/>
        <v>0</v>
      </c>
      <c r="AI215">
        <f t="shared" si="40"/>
        <v>0</v>
      </c>
      <c r="AJ215">
        <f t="shared" si="48"/>
        <v>3000</v>
      </c>
      <c r="AK215">
        <f>IF('Input data'!$B$26="S",'Input data'!$B$22,3.1415*(('Input data'!$B$20*0.0005)-('Input data'!$B$28*A215))^2)</f>
        <v>7.8539816250000026E-3</v>
      </c>
    </row>
    <row r="216" spans="1:37" x14ac:dyDescent="0.2">
      <c r="A216" s="9">
        <f>A215+'Input data'!$B$24</f>
        <v>20.900000000000027</v>
      </c>
      <c r="B216">
        <f>B215+(J215*'Input data'!$B$24)</f>
        <v>5.6041748562109888</v>
      </c>
      <c r="C216">
        <f>C215+(K215*'Input data'!$B$24)</f>
        <v>0</v>
      </c>
      <c r="D216">
        <f>D215+(L215*'Input data'!$B$24)</f>
        <v>-40.391100685269848</v>
      </c>
      <c r="E216">
        <f>IF('Input data'!$B$13=2,'Input data'!$B$25*((0.1036*LN(ABS(P215+1)))+0.8731),IF('Input data'!$B$13=3,'Input data'!$B$25*((0.139*LN(ABS(P215+1)))+0.7503),'Input data'!$B$25))</f>
        <v>5.6301351032067828</v>
      </c>
      <c r="F216">
        <f>E216*COS(RADIANS('Input data'!$B$10))</f>
        <v>5.6301351032067828</v>
      </c>
      <c r="G216">
        <f>E216*SIN(RADIANS('Input data'!$B$10))</f>
        <v>0</v>
      </c>
      <c r="H216">
        <f>1.22*EXP(-0.0001065*(P215+'Input data'!$B$12))</f>
        <v>1.233325864824522</v>
      </c>
      <c r="I216">
        <f t="shared" si="42"/>
        <v>40.391109027879274</v>
      </c>
      <c r="J216">
        <f>-0.5*H216*I216*AK216*'Input data'!$B$19*(B216-F216)/AF216</f>
        <v>6.2939144927016792E-3</v>
      </c>
      <c r="K216">
        <f>-0.5*H216*I216*AK216*'Input data'!$B$19*(C216-G216)/AF216</f>
        <v>0</v>
      </c>
      <c r="L216">
        <f>(-0.5*H216*AK216*I216*'Input data'!$B$19*D216/AF216)-'Input data'!$B$23</f>
        <v>-1.2406962638682018E-2</v>
      </c>
      <c r="M216">
        <f>IF(AF216&gt;0,IF(P215&lt;=Param_1,M215,M215+(B217*'Input data'!$B$24)),M215)</f>
        <v>94.47854469234332</v>
      </c>
      <c r="N216">
        <f>IF(AF216&gt;0,IF(P215&lt;=Param_1,N215,N215+(C217*'Input data'!$B$24)),N215)</f>
        <v>0</v>
      </c>
      <c r="O216">
        <f t="shared" si="41"/>
        <v>0</v>
      </c>
      <c r="P216">
        <f>IF(P215&lt;=-100000,0,IF(AF216&gt;0,IF(P215&lt;Param_1,P215,P215+(D217*'Input data'!$B$24)),P215))</f>
        <v>-102.005790336941</v>
      </c>
      <c r="Q216">
        <f t="shared" si="43"/>
        <v>94.47854469234332</v>
      </c>
      <c r="T216">
        <f t="shared" si="44"/>
        <v>0</v>
      </c>
      <c r="U216">
        <f t="shared" si="45"/>
        <v>0</v>
      </c>
      <c r="V216" s="74">
        <f>IF(X216=0,'Input data'!$Q$22,Q216)</f>
        <v>80.034601194491032</v>
      </c>
      <c r="W216" s="74">
        <f>IF(U216=0,'Input data'!$Q$23,U216)</f>
        <v>0</v>
      </c>
      <c r="X216" s="74">
        <f t="shared" si="38"/>
        <v>0</v>
      </c>
      <c r="Y216">
        <f>IF(P215&lt;Param_1,Y215,A217*'Input data'!$B$25*SIN(RADIANS('Input data'!$B$10)))</f>
        <v>0</v>
      </c>
      <c r="Z216">
        <f>IF(P215&lt;Param_1,Z215,A217*'Input data'!$B$25*COS(RADIANS('Input data'!$B$10)))</f>
        <v>62.083333333333186</v>
      </c>
      <c r="AA216">
        <f t="shared" si="49"/>
        <v>14.899999999999963</v>
      </c>
      <c r="AB216">
        <f t="shared" si="50"/>
        <v>5.1999999999999975</v>
      </c>
      <c r="AC216">
        <f>IF(ROUND(A216*10,3)='Input data'!$B$14*10,M216,0)</f>
        <v>0</v>
      </c>
      <c r="AD216">
        <f>IF(ROUND(A216*10,3)='Input data'!$B$14*10,N216,0)</f>
        <v>0</v>
      </c>
      <c r="AE216">
        <f>IF(ROUND(A216*10,3)='Input data'!$B$14*10,P216,0)</f>
        <v>0</v>
      </c>
      <c r="AF216">
        <f>IF('Input data'!$B$26="C",IF((3.14159265*1860/4)*((0.001*'Input data'!$B$20)-(2*'Input data'!$B$28*A216))^2*((0.33333*0.001*'Input data'!$B$20)-(2*'Input data'!$B$28*A216))&lt;0,(3.14159265*1860/4)*((0.001*'Input data'!$B$20)-(2*'Input data'!$B$28*A216))^2*((0.33333*0.001*'Input data'!$B$20)-(2*'Input data'!$B$28*A216)),(3.14159265*1860/4)*((0.001*'Input data'!$B$20)-(2*'Input data'!$B$28*A216))^2*((0.33333*0.001*'Input data'!$B$20)-(2*'Input data'!$B$28*A216))),'Input data'!$B$21)</f>
        <v>0.40680208090393727</v>
      </c>
      <c r="AG216">
        <f t="shared" si="46"/>
        <v>0</v>
      </c>
      <c r="AH216">
        <f t="shared" si="47"/>
        <v>0</v>
      </c>
      <c r="AI216">
        <f t="shared" si="40"/>
        <v>0</v>
      </c>
      <c r="AJ216">
        <f t="shared" si="48"/>
        <v>3000</v>
      </c>
      <c r="AK216">
        <f>IF('Input data'!$B$26="S",'Input data'!$B$22,3.1415*(('Input data'!$B$20*0.0005)-('Input data'!$B$28*A216))^2)</f>
        <v>7.8539816250000026E-3</v>
      </c>
    </row>
    <row r="217" spans="1:37" x14ac:dyDescent="0.2">
      <c r="A217" s="9">
        <f>A216+'Input data'!$B$24</f>
        <v>21.000000000000028</v>
      </c>
      <c r="B217">
        <f>B216+(J216*'Input data'!$B$24)</f>
        <v>5.6048042476602591</v>
      </c>
      <c r="C217">
        <f>C216+(K216*'Input data'!$B$24)</f>
        <v>0</v>
      </c>
      <c r="D217">
        <f>D216+(L216*'Input data'!$B$24)</f>
        <v>-40.392341381533718</v>
      </c>
      <c r="E217">
        <f>IF('Input data'!$B$13=2,'Input data'!$B$25*((0.1036*LN(ABS(P216+1)))+0.8731),IF('Input data'!$B$13=3,'Input data'!$B$25*((0.139*LN(ABS(P216+1)))+0.7503),'Input data'!$B$25))</f>
        <v>5.6301351032067828</v>
      </c>
      <c r="F217">
        <f>E217*COS(RADIANS('Input data'!$B$10))</f>
        <v>5.6301351032067828</v>
      </c>
      <c r="G217">
        <f>E217*SIN(RADIANS('Input data'!$B$10))</f>
        <v>0</v>
      </c>
      <c r="H217">
        <f>1.22*EXP(-0.0001065*(P216+'Input data'!$B$12))</f>
        <v>1.233325864824522</v>
      </c>
      <c r="I217">
        <f t="shared" si="42"/>
        <v>40.392349324279266</v>
      </c>
      <c r="J217">
        <f>-0.5*H217*I217*AK217*'Input data'!$B$19*(B217-F217)/AF217</f>
        <v>6.1415106918313988E-3</v>
      </c>
      <c r="K217">
        <f>-0.5*H217*I217*AK217*'Input data'!$B$19*(C217-G217)/AF217</f>
        <v>0</v>
      </c>
      <c r="L217">
        <f>(-0.5*H217*AK217*I217*'Input data'!$B$19*D217/AF217)-'Input data'!$B$23</f>
        <v>-1.1805450878769719E-2</v>
      </c>
      <c r="M217">
        <f>IF(AF217&gt;0,IF(P216&lt;=Param_1,M216,M216+(B218*'Input data'!$B$24)),M216)</f>
        <v>94.47854469234332</v>
      </c>
      <c r="N217">
        <f>IF(AF217&gt;0,IF(P216&lt;=Param_1,N216,N216+(C218*'Input data'!$B$24)),N216)</f>
        <v>0</v>
      </c>
      <c r="O217">
        <f t="shared" si="41"/>
        <v>0</v>
      </c>
      <c r="P217">
        <f>IF(P216&lt;=-100000,0,IF(AF217&gt;0,IF(P216&lt;Param_1,P216,P216+(D218*'Input data'!$B$24)),P216))</f>
        <v>-102.005790336941</v>
      </c>
      <c r="Q217">
        <f t="shared" si="43"/>
        <v>94.47854469234332</v>
      </c>
      <c r="T217">
        <f t="shared" si="44"/>
        <v>0</v>
      </c>
      <c r="U217">
        <f t="shared" si="45"/>
        <v>0</v>
      </c>
      <c r="V217" s="74">
        <f>IF(X217=0,'Input data'!$Q$22,Q217)</f>
        <v>80.034601194491032</v>
      </c>
      <c r="W217" s="74">
        <f>IF(U217=0,'Input data'!$Q$23,U217)</f>
        <v>0</v>
      </c>
      <c r="X217" s="74">
        <f t="shared" si="38"/>
        <v>0</v>
      </c>
      <c r="Y217">
        <f>IF(P216&lt;Param_1,Y216,A218*'Input data'!$B$25*SIN(RADIANS('Input data'!$B$10)))</f>
        <v>0</v>
      </c>
      <c r="Z217">
        <f>IF(P216&lt;Param_1,Z216,A218*'Input data'!$B$25*COS(RADIANS('Input data'!$B$10)))</f>
        <v>62.083333333333186</v>
      </c>
      <c r="AA217">
        <f t="shared" si="49"/>
        <v>14.899999999999963</v>
      </c>
      <c r="AB217">
        <f t="shared" si="50"/>
        <v>5.1999999999999975</v>
      </c>
      <c r="AC217">
        <f>IF(ROUND(A217*10,3)='Input data'!$B$14*10,M217,0)</f>
        <v>0</v>
      </c>
      <c r="AD217">
        <f>IF(ROUND(A217*10,3)='Input data'!$B$14*10,N217,0)</f>
        <v>0</v>
      </c>
      <c r="AE217">
        <f>IF(ROUND(A217*10,3)='Input data'!$B$14*10,P217,0)</f>
        <v>0</v>
      </c>
      <c r="AF217">
        <f>IF('Input data'!$B$26="C",IF((3.14159265*1860/4)*((0.001*'Input data'!$B$20)-(2*'Input data'!$B$28*A217))^2*((0.33333*0.001*'Input data'!$B$20)-(2*'Input data'!$B$28*A217))&lt;0,(3.14159265*1860/4)*((0.001*'Input data'!$B$20)-(2*'Input data'!$B$28*A217))^2*((0.33333*0.001*'Input data'!$B$20)-(2*'Input data'!$B$28*A217)),(3.14159265*1860/4)*((0.001*'Input data'!$B$20)-(2*'Input data'!$B$28*A217))^2*((0.33333*0.001*'Input data'!$B$20)-(2*'Input data'!$B$28*A217))),'Input data'!$B$21)</f>
        <v>0.40680208090393727</v>
      </c>
      <c r="AG217">
        <f t="shared" si="46"/>
        <v>0</v>
      </c>
      <c r="AH217">
        <f t="shared" si="47"/>
        <v>0</v>
      </c>
      <c r="AI217">
        <f t="shared" si="40"/>
        <v>0</v>
      </c>
      <c r="AJ217">
        <f t="shared" si="48"/>
        <v>3000</v>
      </c>
      <c r="AK217">
        <f>IF('Input data'!$B$26="S",'Input data'!$B$22,3.1415*(('Input data'!$B$20*0.0005)-('Input data'!$B$28*A217))^2)</f>
        <v>7.8539816250000026E-3</v>
      </c>
    </row>
    <row r="218" spans="1:37" x14ac:dyDescent="0.2">
      <c r="A218" s="9">
        <f>A217+'Input data'!$B$24</f>
        <v>21.10000000000003</v>
      </c>
      <c r="B218">
        <f>B217+(J217*'Input data'!$B$24)</f>
        <v>5.6054183987294426</v>
      </c>
      <c r="C218">
        <f>C217+(K217*'Input data'!$B$24)</f>
        <v>0</v>
      </c>
      <c r="D218">
        <f>D217+(L217*'Input data'!$B$24)</f>
        <v>-40.393521926621595</v>
      </c>
      <c r="E218">
        <f>IF('Input data'!$B$13=2,'Input data'!$B$25*((0.1036*LN(ABS(P217+1)))+0.8731),IF('Input data'!$B$13=3,'Input data'!$B$25*((0.139*LN(ABS(P217+1)))+0.7503),'Input data'!$B$25))</f>
        <v>5.6301351032067828</v>
      </c>
      <c r="F218">
        <f>E218*COS(RADIANS('Input data'!$B$10))</f>
        <v>5.6301351032067828</v>
      </c>
      <c r="G218">
        <f>E218*SIN(RADIANS('Input data'!$B$10))</f>
        <v>0</v>
      </c>
      <c r="H218">
        <f>1.22*EXP(-0.0001065*(P217+'Input data'!$B$12))</f>
        <v>1.233325864824522</v>
      </c>
      <c r="I218">
        <f t="shared" si="42"/>
        <v>40.393529488668598</v>
      </c>
      <c r="J218">
        <f>-0.5*H218*I218*AK218*'Input data'!$B$19*(B218-F218)/AF218</f>
        <v>5.992783768963816E-3</v>
      </c>
      <c r="K218">
        <f>-0.5*H218*I218*AK218*'Input data'!$B$19*(C218-G218)/AF218</f>
        <v>0</v>
      </c>
      <c r="L218">
        <f>(-0.5*H218*AK218*I218*'Input data'!$B$19*D218/AF218)-'Input data'!$B$23</f>
        <v>-1.1233084387658465E-2</v>
      </c>
      <c r="M218">
        <f>IF(AF218&gt;0,IF(P217&lt;=Param_1,M217,M217+(B219*'Input data'!$B$24)),M217)</f>
        <v>94.47854469234332</v>
      </c>
      <c r="N218">
        <f>IF(AF218&gt;0,IF(P217&lt;=Param_1,N217,N217+(C219*'Input data'!$B$24)),N217)</f>
        <v>0</v>
      </c>
      <c r="O218">
        <f t="shared" si="41"/>
        <v>0</v>
      </c>
      <c r="P218">
        <f>IF(P217&lt;=-100000,0,IF(AF218&gt;0,IF(P217&lt;Param_1,P217,P217+(D219*'Input data'!$B$24)),P217))</f>
        <v>-102.005790336941</v>
      </c>
      <c r="Q218">
        <f t="shared" si="43"/>
        <v>94.47854469234332</v>
      </c>
      <c r="T218">
        <f t="shared" si="44"/>
        <v>0</v>
      </c>
      <c r="U218">
        <f t="shared" si="45"/>
        <v>0</v>
      </c>
      <c r="V218" s="74">
        <f>IF(X218=0,'Input data'!$Q$22,Q218)</f>
        <v>80.034601194491032</v>
      </c>
      <c r="W218" s="74">
        <f>IF(U218=0,'Input data'!$Q$23,U218)</f>
        <v>0</v>
      </c>
      <c r="X218" s="74">
        <f t="shared" si="38"/>
        <v>0</v>
      </c>
      <c r="Y218">
        <f>IF(P217&lt;Param_1,Y217,A219*'Input data'!$B$25*SIN(RADIANS('Input data'!$B$10)))</f>
        <v>0</v>
      </c>
      <c r="Z218">
        <f>IF(P217&lt;Param_1,Z217,A219*'Input data'!$B$25*COS(RADIANS('Input data'!$B$10)))</f>
        <v>62.083333333333186</v>
      </c>
      <c r="AA218">
        <f t="shared" si="49"/>
        <v>14.899999999999963</v>
      </c>
      <c r="AB218">
        <f t="shared" si="50"/>
        <v>5.1999999999999975</v>
      </c>
      <c r="AC218">
        <f>IF(ROUND(A218*10,3)='Input data'!$B$14*10,M218,0)</f>
        <v>0</v>
      </c>
      <c r="AD218">
        <f>IF(ROUND(A218*10,3)='Input data'!$B$14*10,N218,0)</f>
        <v>0</v>
      </c>
      <c r="AE218">
        <f>IF(ROUND(A218*10,3)='Input data'!$B$14*10,P218,0)</f>
        <v>0</v>
      </c>
      <c r="AF218">
        <f>IF('Input data'!$B$26="C",IF((3.14159265*1860/4)*((0.001*'Input data'!$B$20)-(2*'Input data'!$B$28*A218))^2*((0.33333*0.001*'Input data'!$B$20)-(2*'Input data'!$B$28*A218))&lt;0,(3.14159265*1860/4)*((0.001*'Input data'!$B$20)-(2*'Input data'!$B$28*A218))^2*((0.33333*0.001*'Input data'!$B$20)-(2*'Input data'!$B$28*A218)),(3.14159265*1860/4)*((0.001*'Input data'!$B$20)-(2*'Input data'!$B$28*A218))^2*((0.33333*0.001*'Input data'!$B$20)-(2*'Input data'!$B$28*A218))),'Input data'!$B$21)</f>
        <v>0.40680208090393727</v>
      </c>
      <c r="AG218">
        <f t="shared" si="46"/>
        <v>0</v>
      </c>
      <c r="AH218">
        <f t="shared" si="47"/>
        <v>0</v>
      </c>
      <c r="AI218">
        <f t="shared" si="40"/>
        <v>0</v>
      </c>
      <c r="AJ218">
        <f t="shared" si="48"/>
        <v>3000</v>
      </c>
      <c r="AK218">
        <f>IF('Input data'!$B$26="S",'Input data'!$B$22,3.1415*(('Input data'!$B$20*0.0005)-('Input data'!$B$28*A218))^2)</f>
        <v>7.8539816250000026E-3</v>
      </c>
    </row>
    <row r="219" spans="1:37" x14ac:dyDescent="0.2">
      <c r="A219" s="9">
        <f>A218+'Input data'!$B$24</f>
        <v>21.200000000000031</v>
      </c>
      <c r="B219">
        <f>B218+(J218*'Input data'!$B$24)</f>
        <v>5.6060176771063386</v>
      </c>
      <c r="C219">
        <f>C218+(K218*'Input data'!$B$24)</f>
        <v>0</v>
      </c>
      <c r="D219">
        <f>D218+(L218*'Input data'!$B$24)</f>
        <v>-40.394645235060359</v>
      </c>
      <c r="E219">
        <f>IF('Input data'!$B$13=2,'Input data'!$B$25*((0.1036*LN(ABS(P218+1)))+0.8731),IF('Input data'!$B$13=3,'Input data'!$B$25*((0.139*LN(ABS(P218+1)))+0.7503),'Input data'!$B$25))</f>
        <v>5.6301351032067828</v>
      </c>
      <c r="F219">
        <f>E219*COS(RADIANS('Input data'!$B$10))</f>
        <v>5.6301351032067828</v>
      </c>
      <c r="G219">
        <f>E219*SIN(RADIANS('Input data'!$B$10))</f>
        <v>0</v>
      </c>
      <c r="H219">
        <f>1.22*EXP(-0.0001065*(P218+'Input data'!$B$12))</f>
        <v>1.233325864824522</v>
      </c>
      <c r="I219">
        <f t="shared" si="42"/>
        <v>40.394652434655583</v>
      </c>
      <c r="J219">
        <f>-0.5*H219*I219*AK219*'Input data'!$B$19*(B219-F219)/AF219</f>
        <v>5.8476459831395908E-3</v>
      </c>
      <c r="K219">
        <f>-0.5*H219*I219*AK219*'Input data'!$B$19*(C219-G219)/AF219</f>
        <v>0</v>
      </c>
      <c r="L219">
        <f>(-0.5*H219*AK219*I219*'Input data'!$B$19*D219/AF219)-'Input data'!$B$23</f>
        <v>-1.0688452599888265E-2</v>
      </c>
      <c r="M219">
        <f>IF(AF219&gt;0,IF(P218&lt;=Param_1,M218,M218+(B220*'Input data'!$B$24)),M218)</f>
        <v>94.47854469234332</v>
      </c>
      <c r="N219">
        <f>IF(AF219&gt;0,IF(P218&lt;=Param_1,N218,N218+(C220*'Input data'!$B$24)),N218)</f>
        <v>0</v>
      </c>
      <c r="O219">
        <f t="shared" si="41"/>
        <v>0</v>
      </c>
      <c r="P219">
        <f>IF(P218&lt;=-100000,0,IF(AF219&gt;0,IF(P218&lt;Param_1,P218,P218+(D220*'Input data'!$B$24)),P218))</f>
        <v>-102.005790336941</v>
      </c>
      <c r="Q219">
        <f t="shared" si="43"/>
        <v>94.47854469234332</v>
      </c>
      <c r="T219">
        <f t="shared" si="44"/>
        <v>0</v>
      </c>
      <c r="U219">
        <f t="shared" si="45"/>
        <v>0</v>
      </c>
      <c r="V219" s="74">
        <f>IF(X219=0,'Input data'!$Q$22,Q219)</f>
        <v>80.034601194491032</v>
      </c>
      <c r="W219" s="74">
        <f>IF(U219=0,'Input data'!$Q$23,U219)</f>
        <v>0</v>
      </c>
      <c r="X219" s="74">
        <f t="shared" si="38"/>
        <v>0</v>
      </c>
      <c r="Y219">
        <f>IF(P218&lt;Param_1,Y218,A220*'Input data'!$B$25*SIN(RADIANS('Input data'!$B$10)))</f>
        <v>0</v>
      </c>
      <c r="Z219">
        <f>IF(P218&lt;Param_1,Z218,A220*'Input data'!$B$25*COS(RADIANS('Input data'!$B$10)))</f>
        <v>62.083333333333186</v>
      </c>
      <c r="AA219">
        <f t="shared" si="49"/>
        <v>14.899999999999963</v>
      </c>
      <c r="AB219">
        <f t="shared" si="50"/>
        <v>5.1999999999999975</v>
      </c>
      <c r="AC219">
        <f>IF(ROUND(A219*10,3)='Input data'!$B$14*10,M219,0)</f>
        <v>0</v>
      </c>
      <c r="AD219">
        <f>IF(ROUND(A219*10,3)='Input data'!$B$14*10,N219,0)</f>
        <v>0</v>
      </c>
      <c r="AE219">
        <f>IF(ROUND(A219*10,3)='Input data'!$B$14*10,P219,0)</f>
        <v>0</v>
      </c>
      <c r="AF219">
        <f>IF('Input data'!$B$26="C",IF((3.14159265*1860/4)*((0.001*'Input data'!$B$20)-(2*'Input data'!$B$28*A219))^2*((0.33333*0.001*'Input data'!$B$20)-(2*'Input data'!$B$28*A219))&lt;0,(3.14159265*1860/4)*((0.001*'Input data'!$B$20)-(2*'Input data'!$B$28*A219))^2*((0.33333*0.001*'Input data'!$B$20)-(2*'Input data'!$B$28*A219)),(3.14159265*1860/4)*((0.001*'Input data'!$B$20)-(2*'Input data'!$B$28*A219))^2*((0.33333*0.001*'Input data'!$B$20)-(2*'Input data'!$B$28*A219))),'Input data'!$B$21)</f>
        <v>0.40680208090393727</v>
      </c>
      <c r="AG219">
        <f t="shared" si="46"/>
        <v>0</v>
      </c>
      <c r="AH219">
        <f t="shared" si="47"/>
        <v>0</v>
      </c>
      <c r="AI219">
        <f t="shared" si="40"/>
        <v>0</v>
      </c>
      <c r="AJ219">
        <f t="shared" si="48"/>
        <v>3000</v>
      </c>
      <c r="AK219">
        <f>IF('Input data'!$B$26="S",'Input data'!$B$22,3.1415*(('Input data'!$B$20*0.0005)-('Input data'!$B$28*A219))^2)</f>
        <v>7.8539816250000026E-3</v>
      </c>
    </row>
    <row r="220" spans="1:37" x14ac:dyDescent="0.2">
      <c r="A220" s="9">
        <f>A219+'Input data'!$B$24</f>
        <v>21.300000000000033</v>
      </c>
      <c r="B220">
        <f>B219+(J219*'Input data'!$B$24)</f>
        <v>5.6066024417046529</v>
      </c>
      <c r="C220">
        <f>C219+(K219*'Input data'!$B$24)</f>
        <v>0</v>
      </c>
      <c r="D220">
        <f>D219+(L219*'Input data'!$B$24)</f>
        <v>-40.395714080320346</v>
      </c>
      <c r="E220">
        <f>IF('Input data'!$B$13=2,'Input data'!$B$25*((0.1036*LN(ABS(P219+1)))+0.8731),IF('Input data'!$B$13=3,'Input data'!$B$25*((0.139*LN(ABS(P219+1)))+0.7503),'Input data'!$B$25))</f>
        <v>5.6301351032067828</v>
      </c>
      <c r="F220">
        <f>E220*COS(RADIANS('Input data'!$B$10))</f>
        <v>5.6301351032067828</v>
      </c>
      <c r="G220">
        <f>E220*SIN(RADIANS('Input data'!$B$10))</f>
        <v>0</v>
      </c>
      <c r="H220">
        <f>1.22*EXP(-0.0001065*(P219+'Input data'!$B$12))</f>
        <v>1.233325864824522</v>
      </c>
      <c r="I220">
        <f t="shared" si="42"/>
        <v>40.395720934836014</v>
      </c>
      <c r="J220">
        <f>-0.5*H220*I220*AK220*'Input data'!$B$19*(B220-F220)/AF220</f>
        <v>5.7060116176834907E-3</v>
      </c>
      <c r="K220">
        <f>-0.5*H220*I220*AK220*'Input data'!$B$19*(C220-G220)/AF220</f>
        <v>0</v>
      </c>
      <c r="L220">
        <f>(-0.5*H220*AK220*I220*'Input data'!$B$19*D220/AF220)-'Input data'!$B$23</f>
        <v>-1.0170213064640166E-2</v>
      </c>
      <c r="M220">
        <f>IF(AF220&gt;0,IF(P219&lt;=Param_1,M219,M219+(B221*'Input data'!$B$24)),M219)</f>
        <v>94.47854469234332</v>
      </c>
      <c r="N220">
        <f>IF(AF220&gt;0,IF(P219&lt;=Param_1,N219,N219+(C221*'Input data'!$B$24)),N219)</f>
        <v>0</v>
      </c>
      <c r="O220">
        <f t="shared" si="41"/>
        <v>0</v>
      </c>
      <c r="P220">
        <f>IF(P219&lt;=-100000,0,IF(AF220&gt;0,IF(P219&lt;Param_1,P219,P219+(D221*'Input data'!$B$24)),P219))</f>
        <v>-102.005790336941</v>
      </c>
      <c r="Q220">
        <f t="shared" si="43"/>
        <v>94.47854469234332</v>
      </c>
      <c r="T220">
        <f t="shared" si="44"/>
        <v>0</v>
      </c>
      <c r="U220">
        <f t="shared" si="45"/>
        <v>0</v>
      </c>
      <c r="V220" s="74">
        <f>IF(X220=0,'Input data'!$Q$22,Q220)</f>
        <v>80.034601194491032</v>
      </c>
      <c r="W220" s="74">
        <f>IF(U220=0,'Input data'!$Q$23,U220)</f>
        <v>0</v>
      </c>
      <c r="X220" s="74">
        <f t="shared" si="38"/>
        <v>0</v>
      </c>
      <c r="Y220">
        <f>IF(P219&lt;Param_1,Y219,A221*'Input data'!$B$25*SIN(RADIANS('Input data'!$B$10)))</f>
        <v>0</v>
      </c>
      <c r="Z220">
        <f>IF(P219&lt;Param_1,Z219,A221*'Input data'!$B$25*COS(RADIANS('Input data'!$B$10)))</f>
        <v>62.083333333333186</v>
      </c>
      <c r="AA220">
        <f t="shared" si="49"/>
        <v>14.899999999999963</v>
      </c>
      <c r="AB220">
        <f t="shared" si="50"/>
        <v>5.1999999999999975</v>
      </c>
      <c r="AC220">
        <f>IF(ROUND(A220*10,3)='Input data'!$B$14*10,M220,0)</f>
        <v>0</v>
      </c>
      <c r="AD220">
        <f>IF(ROUND(A220*10,3)='Input data'!$B$14*10,N220,0)</f>
        <v>0</v>
      </c>
      <c r="AE220">
        <f>IF(ROUND(A220*10,3)='Input data'!$B$14*10,P220,0)</f>
        <v>0</v>
      </c>
      <c r="AF220">
        <f>IF('Input data'!$B$26="C",IF((3.14159265*1860/4)*((0.001*'Input data'!$B$20)-(2*'Input data'!$B$28*A220))^2*((0.33333*0.001*'Input data'!$B$20)-(2*'Input data'!$B$28*A220))&lt;0,(3.14159265*1860/4)*((0.001*'Input data'!$B$20)-(2*'Input data'!$B$28*A220))^2*((0.33333*0.001*'Input data'!$B$20)-(2*'Input data'!$B$28*A220)),(3.14159265*1860/4)*((0.001*'Input data'!$B$20)-(2*'Input data'!$B$28*A220))^2*((0.33333*0.001*'Input data'!$B$20)-(2*'Input data'!$B$28*A220))),'Input data'!$B$21)</f>
        <v>0.40680208090393727</v>
      </c>
      <c r="AG220">
        <f t="shared" si="46"/>
        <v>0</v>
      </c>
      <c r="AH220">
        <f t="shared" si="47"/>
        <v>0</v>
      </c>
      <c r="AI220">
        <f t="shared" si="40"/>
        <v>0</v>
      </c>
      <c r="AJ220">
        <f t="shared" si="48"/>
        <v>3000</v>
      </c>
      <c r="AK220">
        <f>IF('Input data'!$B$26="S",'Input data'!$B$22,3.1415*(('Input data'!$B$20*0.0005)-('Input data'!$B$28*A220))^2)</f>
        <v>7.8539816250000026E-3</v>
      </c>
    </row>
    <row r="221" spans="1:37" x14ac:dyDescent="0.2">
      <c r="A221" s="9">
        <f>A220+'Input data'!$B$24</f>
        <v>21.400000000000034</v>
      </c>
      <c r="B221">
        <f>B220+(J220*'Input data'!$B$24)</f>
        <v>5.607173042866421</v>
      </c>
      <c r="C221">
        <f>C220+(K220*'Input data'!$B$24)</f>
        <v>0</v>
      </c>
      <c r="D221">
        <f>D220+(L220*'Input data'!$B$24)</f>
        <v>-40.396731101626813</v>
      </c>
      <c r="E221">
        <f>IF('Input data'!$B$13=2,'Input data'!$B$25*((0.1036*LN(ABS(P220+1)))+0.8731),IF('Input data'!$B$13=3,'Input data'!$B$25*((0.139*LN(ABS(P220+1)))+0.7503),'Input data'!$B$25))</f>
        <v>5.6301351032067828</v>
      </c>
      <c r="F221">
        <f>E221*COS(RADIANS('Input data'!$B$10))</f>
        <v>5.6301351032067828</v>
      </c>
      <c r="G221">
        <f>E221*SIN(RADIANS('Input data'!$B$10))</f>
        <v>0</v>
      </c>
      <c r="H221">
        <f>1.22*EXP(-0.0001065*(P220+'Input data'!$B$12))</f>
        <v>1.233325864824522</v>
      </c>
      <c r="I221">
        <f t="shared" si="42"/>
        <v>40.396737627602533</v>
      </c>
      <c r="J221">
        <f>-0.5*H221*I221*AK221*'Input data'!$B$19*(B221-F221)/AF221</f>
        <v>5.567796938542033E-3</v>
      </c>
      <c r="K221">
        <f>-0.5*H221*I221*AK221*'Input data'!$B$19*(C221-G221)/AF221</f>
        <v>0</v>
      </c>
      <c r="L221">
        <f>(-0.5*H221*AK221*I221*'Input data'!$B$19*D221/AF221)-'Input data'!$B$23</f>
        <v>-9.6770881710845913E-3</v>
      </c>
      <c r="M221">
        <f>IF(AF221&gt;0,IF(P220&lt;=Param_1,M220,M220+(B222*'Input data'!$B$24)),M220)</f>
        <v>94.47854469234332</v>
      </c>
      <c r="N221">
        <f>IF(AF221&gt;0,IF(P220&lt;=Param_1,N220,N220+(C222*'Input data'!$B$24)),N220)</f>
        <v>0</v>
      </c>
      <c r="O221">
        <f t="shared" si="41"/>
        <v>0</v>
      </c>
      <c r="P221">
        <f>IF(P220&lt;=-100000,0,IF(AF221&gt;0,IF(P220&lt;Param_1,P220,P220+(D222*'Input data'!$B$24)),P220))</f>
        <v>-102.005790336941</v>
      </c>
      <c r="Q221">
        <f t="shared" si="43"/>
        <v>94.47854469234332</v>
      </c>
      <c r="T221">
        <f t="shared" si="44"/>
        <v>0</v>
      </c>
      <c r="U221">
        <f t="shared" si="45"/>
        <v>0</v>
      </c>
      <c r="V221" s="74">
        <f>IF(X221=0,'Input data'!$Q$22,Q221)</f>
        <v>80.034601194491032</v>
      </c>
      <c r="W221" s="74">
        <f>IF(U221=0,'Input data'!$Q$23,U221)</f>
        <v>0</v>
      </c>
      <c r="X221" s="74">
        <f t="shared" si="38"/>
        <v>0</v>
      </c>
      <c r="Y221">
        <f>IF(P220&lt;Param_1,Y220,A222*'Input data'!$B$25*SIN(RADIANS('Input data'!$B$10)))</f>
        <v>0</v>
      </c>
      <c r="Z221">
        <f>IF(P220&lt;Param_1,Z220,A222*'Input data'!$B$25*COS(RADIANS('Input data'!$B$10)))</f>
        <v>62.083333333333186</v>
      </c>
      <c r="AA221">
        <f t="shared" si="49"/>
        <v>14.899999999999963</v>
      </c>
      <c r="AB221">
        <f t="shared" si="50"/>
        <v>5.1999999999999975</v>
      </c>
      <c r="AC221">
        <f>IF(ROUND(A221*10,3)='Input data'!$B$14*10,M221,0)</f>
        <v>0</v>
      </c>
      <c r="AD221">
        <f>IF(ROUND(A221*10,3)='Input data'!$B$14*10,N221,0)</f>
        <v>0</v>
      </c>
      <c r="AE221">
        <f>IF(ROUND(A221*10,3)='Input data'!$B$14*10,P221,0)</f>
        <v>0</v>
      </c>
      <c r="AF221">
        <f>IF('Input data'!$B$26="C",IF((3.14159265*1860/4)*((0.001*'Input data'!$B$20)-(2*'Input data'!$B$28*A221))^2*((0.33333*0.001*'Input data'!$B$20)-(2*'Input data'!$B$28*A221))&lt;0,(3.14159265*1860/4)*((0.001*'Input data'!$B$20)-(2*'Input data'!$B$28*A221))^2*((0.33333*0.001*'Input data'!$B$20)-(2*'Input data'!$B$28*A221)),(3.14159265*1860/4)*((0.001*'Input data'!$B$20)-(2*'Input data'!$B$28*A221))^2*((0.33333*0.001*'Input data'!$B$20)-(2*'Input data'!$B$28*A221))),'Input data'!$B$21)</f>
        <v>0.40680208090393727</v>
      </c>
      <c r="AG221">
        <f t="shared" si="46"/>
        <v>0</v>
      </c>
      <c r="AH221">
        <f t="shared" si="47"/>
        <v>0</v>
      </c>
      <c r="AI221">
        <f t="shared" si="40"/>
        <v>0</v>
      </c>
      <c r="AJ221">
        <f t="shared" si="48"/>
        <v>3000</v>
      </c>
      <c r="AK221">
        <f>IF('Input data'!$B$26="S",'Input data'!$B$22,3.1415*(('Input data'!$B$20*0.0005)-('Input data'!$B$28*A221))^2)</f>
        <v>7.8539816250000026E-3</v>
      </c>
    </row>
    <row r="222" spans="1:37" x14ac:dyDescent="0.2">
      <c r="A222" s="9">
        <f>A221+'Input data'!$B$24</f>
        <v>21.500000000000036</v>
      </c>
      <c r="B222">
        <f>B221+(J221*'Input data'!$B$24)</f>
        <v>5.607729822560275</v>
      </c>
      <c r="C222">
        <f>C221+(K221*'Input data'!$B$24)</f>
        <v>0</v>
      </c>
      <c r="D222">
        <f>D221+(L221*'Input data'!$B$24)</f>
        <v>-40.39769881044392</v>
      </c>
      <c r="E222">
        <f>IF('Input data'!$B$13=2,'Input data'!$B$25*((0.1036*LN(ABS(P221+1)))+0.8731),IF('Input data'!$B$13=3,'Input data'!$B$25*((0.139*LN(ABS(P221+1)))+0.7503),'Input data'!$B$25))</f>
        <v>5.6301351032067828</v>
      </c>
      <c r="F222">
        <f>E222*COS(RADIANS('Input data'!$B$10))</f>
        <v>5.6301351032067828</v>
      </c>
      <c r="G222">
        <f>E222*SIN(RADIANS('Input data'!$B$10))</f>
        <v>0</v>
      </c>
      <c r="H222">
        <f>1.22*EXP(-0.0001065*(P221+'Input data'!$B$12))</f>
        <v>1.233325864824522</v>
      </c>
      <c r="I222">
        <f t="shared" si="42"/>
        <v>40.397705023626564</v>
      </c>
      <c r="J222">
        <f>-0.5*H222*I222*AK222*'Input data'!$B$19*(B222-F222)/AF222</f>
        <v>5.432920153098807E-3</v>
      </c>
      <c r="K222">
        <f>-0.5*H222*I222*AK222*'Input data'!$B$19*(C222-G222)/AF222</f>
        <v>0</v>
      </c>
      <c r="L222">
        <f>(-0.5*H222*AK222*I222*'Input data'!$B$19*D222/AF222)-'Input data'!$B$23</f>
        <v>-9.2078620298305935E-3</v>
      </c>
      <c r="M222">
        <f>IF(AF222&gt;0,IF(P221&lt;=Param_1,M221,M221+(B223*'Input data'!$B$24)),M221)</f>
        <v>94.47854469234332</v>
      </c>
      <c r="N222">
        <f>IF(AF222&gt;0,IF(P221&lt;=Param_1,N221,N221+(C223*'Input data'!$B$24)),N221)</f>
        <v>0</v>
      </c>
      <c r="O222">
        <f t="shared" si="41"/>
        <v>0</v>
      </c>
      <c r="P222">
        <f>IF(P221&lt;=-100000,0,IF(AF222&gt;0,IF(P221&lt;Param_1,P221,P221+(D223*'Input data'!$B$24)),P221))</f>
        <v>-102.005790336941</v>
      </c>
      <c r="Q222">
        <f t="shared" si="43"/>
        <v>94.47854469234332</v>
      </c>
      <c r="T222">
        <f t="shared" si="44"/>
        <v>0</v>
      </c>
      <c r="U222">
        <f t="shared" si="45"/>
        <v>0</v>
      </c>
      <c r="V222" s="74">
        <f>IF(X222=0,'Input data'!$Q$22,Q222)</f>
        <v>80.034601194491032</v>
      </c>
      <c r="W222" s="74">
        <f>IF(U222=0,'Input data'!$Q$23,U222)</f>
        <v>0</v>
      </c>
      <c r="X222" s="74">
        <f t="shared" si="38"/>
        <v>0</v>
      </c>
      <c r="Y222">
        <f>IF(P221&lt;Param_1,Y221,A223*'Input data'!$B$25*SIN(RADIANS('Input data'!$B$10)))</f>
        <v>0</v>
      </c>
      <c r="Z222">
        <f>IF(P221&lt;Param_1,Z221,A223*'Input data'!$B$25*COS(RADIANS('Input data'!$B$10)))</f>
        <v>62.083333333333186</v>
      </c>
      <c r="AA222">
        <f t="shared" si="49"/>
        <v>14.899999999999963</v>
      </c>
      <c r="AB222">
        <f t="shared" si="50"/>
        <v>5.1999999999999975</v>
      </c>
      <c r="AC222">
        <f>IF(ROUND(A222*10,3)='Input data'!$B$14*10,M222,0)</f>
        <v>0</v>
      </c>
      <c r="AD222">
        <f>IF(ROUND(A222*10,3)='Input data'!$B$14*10,N222,0)</f>
        <v>0</v>
      </c>
      <c r="AE222">
        <f>IF(ROUND(A222*10,3)='Input data'!$B$14*10,P222,0)</f>
        <v>0</v>
      </c>
      <c r="AF222">
        <f>IF('Input data'!$B$26="C",IF((3.14159265*1860/4)*((0.001*'Input data'!$B$20)-(2*'Input data'!$B$28*A222))^2*((0.33333*0.001*'Input data'!$B$20)-(2*'Input data'!$B$28*A222))&lt;0,(3.14159265*1860/4)*((0.001*'Input data'!$B$20)-(2*'Input data'!$B$28*A222))^2*((0.33333*0.001*'Input data'!$B$20)-(2*'Input data'!$B$28*A222)),(3.14159265*1860/4)*((0.001*'Input data'!$B$20)-(2*'Input data'!$B$28*A222))^2*((0.33333*0.001*'Input data'!$B$20)-(2*'Input data'!$B$28*A222))),'Input data'!$B$21)</f>
        <v>0.40680208090393727</v>
      </c>
      <c r="AG222">
        <f t="shared" si="46"/>
        <v>0</v>
      </c>
      <c r="AH222">
        <f t="shared" si="47"/>
        <v>0</v>
      </c>
      <c r="AI222">
        <f t="shared" si="40"/>
        <v>0</v>
      </c>
      <c r="AJ222">
        <f t="shared" si="48"/>
        <v>3000</v>
      </c>
      <c r="AK222">
        <f>IF('Input data'!$B$26="S",'Input data'!$B$22,3.1415*(('Input data'!$B$20*0.0005)-('Input data'!$B$28*A222))^2)</f>
        <v>7.8539816250000026E-3</v>
      </c>
    </row>
    <row r="223" spans="1:37" x14ac:dyDescent="0.2">
      <c r="A223" s="9">
        <f>A222+'Input data'!$B$24</f>
        <v>21.600000000000037</v>
      </c>
      <c r="B223">
        <f>B222+(J222*'Input data'!$B$24)</f>
        <v>5.6082731145755851</v>
      </c>
      <c r="C223">
        <f>C222+(K222*'Input data'!$B$24)</f>
        <v>0</v>
      </c>
      <c r="D223">
        <f>D222+(L222*'Input data'!$B$24)</f>
        <v>-40.398619596646903</v>
      </c>
      <c r="E223">
        <f>IF('Input data'!$B$13=2,'Input data'!$B$25*((0.1036*LN(ABS(P222+1)))+0.8731),IF('Input data'!$B$13=3,'Input data'!$B$25*((0.139*LN(ABS(P222+1)))+0.7503),'Input data'!$B$25))</f>
        <v>5.6301351032067828</v>
      </c>
      <c r="F223">
        <f>E223*COS(RADIANS('Input data'!$B$10))</f>
        <v>5.6301351032067828</v>
      </c>
      <c r="G223">
        <f>E223*SIN(RADIANS('Input data'!$B$10))</f>
        <v>0</v>
      </c>
      <c r="H223">
        <f>1.22*EXP(-0.0001065*(P222+'Input data'!$B$12))</f>
        <v>1.233325864824522</v>
      </c>
      <c r="I223">
        <f t="shared" si="42"/>
        <v>40.398625512028623</v>
      </c>
      <c r="J223">
        <f>-0.5*H223*I223*AK223*'Input data'!$B$19*(B223-F223)/AF223</f>
        <v>5.3013013694978746E-3</v>
      </c>
      <c r="K223">
        <f>-0.5*H223*I223*AK223*'Input data'!$B$19*(C223-G223)/AF223</f>
        <v>0</v>
      </c>
      <c r="L223">
        <f>(-0.5*H223*AK223*I223*'Input data'!$B$19*D223/AF223)-'Input data'!$B$23</f>
        <v>-8.761377503061496E-3</v>
      </c>
      <c r="M223">
        <f>IF(AF223&gt;0,IF(P222&lt;=Param_1,M222,M222+(B224*'Input data'!$B$24)),M222)</f>
        <v>94.47854469234332</v>
      </c>
      <c r="N223">
        <f>IF(AF223&gt;0,IF(P222&lt;=Param_1,N222,N222+(C224*'Input data'!$B$24)),N222)</f>
        <v>0</v>
      </c>
      <c r="O223">
        <f t="shared" si="41"/>
        <v>0</v>
      </c>
      <c r="P223">
        <f>IF(P222&lt;=-100000,0,IF(AF223&gt;0,IF(P222&lt;Param_1,P222,P222+(D224*'Input data'!$B$24)),P222))</f>
        <v>-102.005790336941</v>
      </c>
      <c r="Q223">
        <f t="shared" si="43"/>
        <v>94.47854469234332</v>
      </c>
      <c r="T223">
        <f t="shared" si="44"/>
        <v>0</v>
      </c>
      <c r="U223">
        <f t="shared" si="45"/>
        <v>0</v>
      </c>
      <c r="V223" s="74">
        <f>IF(X223=0,'Input data'!$Q$22,Q223)</f>
        <v>80.034601194491032</v>
      </c>
      <c r="W223" s="74">
        <f>IF(U223=0,'Input data'!$Q$23,U223)</f>
        <v>0</v>
      </c>
      <c r="X223" s="74">
        <f t="shared" ref="X223:X235" si="51">IF(P223&lt;0,0,P223)</f>
        <v>0</v>
      </c>
      <c r="Y223">
        <f>IF(P222&lt;Param_1,Y222,A224*'Input data'!$B$25*SIN(RADIANS('Input data'!$B$10)))</f>
        <v>0</v>
      </c>
      <c r="Z223">
        <f>IF(P222&lt;Param_1,Z222,A224*'Input data'!$B$25*COS(RADIANS('Input data'!$B$10)))</f>
        <v>62.083333333333186</v>
      </c>
      <c r="AA223">
        <f t="shared" si="49"/>
        <v>14.899999999999963</v>
      </c>
      <c r="AB223">
        <f t="shared" si="50"/>
        <v>5.1999999999999975</v>
      </c>
      <c r="AC223">
        <f>IF(ROUND(A223*10,3)='Input data'!$B$14*10,M223,0)</f>
        <v>0</v>
      </c>
      <c r="AD223">
        <f>IF(ROUND(A223*10,3)='Input data'!$B$14*10,N223,0)</f>
        <v>0</v>
      </c>
      <c r="AE223">
        <f>IF(ROUND(A223*10,3)='Input data'!$B$14*10,P223,0)</f>
        <v>0</v>
      </c>
      <c r="AF223">
        <f>IF('Input data'!$B$26="C",IF((3.14159265*1860/4)*((0.001*'Input data'!$B$20)-(2*'Input data'!$B$28*A223))^2*((0.33333*0.001*'Input data'!$B$20)-(2*'Input data'!$B$28*A223))&lt;0,(3.14159265*1860/4)*((0.001*'Input data'!$B$20)-(2*'Input data'!$B$28*A223))^2*((0.33333*0.001*'Input data'!$B$20)-(2*'Input data'!$B$28*A223)),(3.14159265*1860/4)*((0.001*'Input data'!$B$20)-(2*'Input data'!$B$28*A223))^2*((0.33333*0.001*'Input data'!$B$20)-(2*'Input data'!$B$28*A223))),'Input data'!$B$21)</f>
        <v>0.40680208090393727</v>
      </c>
      <c r="AG223">
        <f t="shared" si="46"/>
        <v>0</v>
      </c>
      <c r="AH223">
        <f t="shared" si="47"/>
        <v>0</v>
      </c>
      <c r="AI223">
        <f t="shared" si="40"/>
        <v>0</v>
      </c>
      <c r="AJ223">
        <f t="shared" si="48"/>
        <v>3000</v>
      </c>
      <c r="AK223">
        <f>IF('Input data'!$B$26="S",'Input data'!$B$22,3.1415*(('Input data'!$B$20*0.0005)-('Input data'!$B$28*A223))^2)</f>
        <v>7.8539816250000026E-3</v>
      </c>
    </row>
    <row r="224" spans="1:37" x14ac:dyDescent="0.2">
      <c r="A224" s="9">
        <f>A223+'Input data'!$B$24</f>
        <v>21.700000000000038</v>
      </c>
      <c r="B224">
        <f>B223+(J223*'Input data'!$B$24)</f>
        <v>5.6088032447125347</v>
      </c>
      <c r="C224">
        <f>C223+(K223*'Input data'!$B$24)</f>
        <v>0</v>
      </c>
      <c r="D224">
        <f>D223+(L223*'Input data'!$B$24)</f>
        <v>-40.399495734397206</v>
      </c>
      <c r="E224">
        <f>IF('Input data'!$B$13=2,'Input data'!$B$25*((0.1036*LN(ABS(P223+1)))+0.8731),IF('Input data'!$B$13=3,'Input data'!$B$25*((0.139*LN(ABS(P223+1)))+0.7503),'Input data'!$B$25))</f>
        <v>5.6301351032067828</v>
      </c>
      <c r="F224">
        <f>E224*COS(RADIANS('Input data'!$B$10))</f>
        <v>5.6301351032067828</v>
      </c>
      <c r="G224">
        <f>E224*SIN(RADIANS('Input data'!$B$10))</f>
        <v>0</v>
      </c>
      <c r="H224">
        <f>1.22*EXP(-0.0001065*(P223+'Input data'!$B$12))</f>
        <v>1.233325864824522</v>
      </c>
      <c r="I224">
        <f t="shared" si="42"/>
        <v>40.399501366251599</v>
      </c>
      <c r="J224">
        <f>-0.5*H224*I224*AK224*'Input data'!$B$19*(B224-F224)/AF224</f>
        <v>5.1728625564959971E-3</v>
      </c>
      <c r="K224">
        <f>-0.5*H224*I224*AK224*'Input data'!$B$19*(C224-G224)/AF224</f>
        <v>0</v>
      </c>
      <c r="L224">
        <f>(-0.5*H224*AK224*I224*'Input data'!$B$19*D224/AF224)-'Input data'!$B$23</f>
        <v>-8.3365333764859884E-3</v>
      </c>
      <c r="M224">
        <f>IF(AF224&gt;0,IF(P223&lt;=Param_1,M223,M223+(B225*'Input data'!$B$24)),M223)</f>
        <v>94.47854469234332</v>
      </c>
      <c r="N224">
        <f>IF(AF224&gt;0,IF(P223&lt;=Param_1,N223,N223+(C225*'Input data'!$B$24)),N223)</f>
        <v>0</v>
      </c>
      <c r="O224">
        <f t="shared" si="41"/>
        <v>0</v>
      </c>
      <c r="P224">
        <f>IF(P223&lt;=-100000,0,IF(AF224&gt;0,IF(P223&lt;Param_1,P223,P223+(D225*'Input data'!$B$24)),P223))</f>
        <v>-102.005790336941</v>
      </c>
      <c r="Q224">
        <f t="shared" si="43"/>
        <v>94.47854469234332</v>
      </c>
      <c r="T224">
        <f t="shared" si="44"/>
        <v>0</v>
      </c>
      <c r="U224">
        <f t="shared" si="45"/>
        <v>0</v>
      </c>
      <c r="V224" s="74">
        <f>IF(X224=0,'Input data'!$Q$22,Q224)</f>
        <v>80.034601194491032</v>
      </c>
      <c r="W224" s="74">
        <f>IF(U224=0,'Input data'!$Q$23,U224)</f>
        <v>0</v>
      </c>
      <c r="X224" s="74">
        <f t="shared" si="51"/>
        <v>0</v>
      </c>
      <c r="Y224">
        <f>IF(P223&lt;Param_1,Y223,A225*'Input data'!$B$25*SIN(RADIANS('Input data'!$B$10)))</f>
        <v>0</v>
      </c>
      <c r="Z224">
        <f>IF(P223&lt;Param_1,Z223,A225*'Input data'!$B$25*COS(RADIANS('Input data'!$B$10)))</f>
        <v>62.083333333333186</v>
      </c>
      <c r="AA224">
        <f t="shared" si="49"/>
        <v>14.899999999999963</v>
      </c>
      <c r="AB224">
        <f t="shared" si="50"/>
        <v>5.1999999999999975</v>
      </c>
      <c r="AC224">
        <f>IF(ROUND(A224*10,3)='Input data'!$B$14*10,M224,0)</f>
        <v>0</v>
      </c>
      <c r="AD224">
        <f>IF(ROUND(A224*10,3)='Input data'!$B$14*10,N224,0)</f>
        <v>0</v>
      </c>
      <c r="AE224">
        <f>IF(ROUND(A224*10,3)='Input data'!$B$14*10,P224,0)</f>
        <v>0</v>
      </c>
      <c r="AF224">
        <f>IF('Input data'!$B$26="C",IF((3.14159265*1860/4)*((0.001*'Input data'!$B$20)-(2*'Input data'!$B$28*A224))^2*((0.33333*0.001*'Input data'!$B$20)-(2*'Input data'!$B$28*A224))&lt;0,(3.14159265*1860/4)*((0.001*'Input data'!$B$20)-(2*'Input data'!$B$28*A224))^2*((0.33333*0.001*'Input data'!$B$20)-(2*'Input data'!$B$28*A224)),(3.14159265*1860/4)*((0.001*'Input data'!$B$20)-(2*'Input data'!$B$28*A224))^2*((0.33333*0.001*'Input data'!$B$20)-(2*'Input data'!$B$28*A224))),'Input data'!$B$21)</f>
        <v>0.40680208090393727</v>
      </c>
      <c r="AG224">
        <f t="shared" si="46"/>
        <v>0</v>
      </c>
      <c r="AH224">
        <f t="shared" si="47"/>
        <v>0</v>
      </c>
      <c r="AI224">
        <f t="shared" si="40"/>
        <v>0</v>
      </c>
      <c r="AJ224">
        <f t="shared" si="48"/>
        <v>3000</v>
      </c>
      <c r="AK224">
        <f>IF('Input data'!$B$26="S",'Input data'!$B$22,3.1415*(('Input data'!$B$20*0.0005)-('Input data'!$B$28*A224))^2)</f>
        <v>7.8539816250000026E-3</v>
      </c>
    </row>
    <row r="225" spans="1:37" x14ac:dyDescent="0.2">
      <c r="A225" s="9">
        <f>A224+'Input data'!$B$24</f>
        <v>21.80000000000004</v>
      </c>
      <c r="B225">
        <f>B224+(J224*'Input data'!$B$24)</f>
        <v>5.6093205309681844</v>
      </c>
      <c r="C225">
        <f>C224+(K224*'Input data'!$B$24)</f>
        <v>0</v>
      </c>
      <c r="D225">
        <f>D224+(L224*'Input data'!$B$24)</f>
        <v>-40.400329387734857</v>
      </c>
      <c r="E225">
        <f>IF('Input data'!$B$13=2,'Input data'!$B$25*((0.1036*LN(ABS(P224+1)))+0.8731),IF('Input data'!$B$13=3,'Input data'!$B$25*((0.139*LN(ABS(P224+1)))+0.7503),'Input data'!$B$25))</f>
        <v>5.6301351032067828</v>
      </c>
      <c r="F225">
        <f>E225*COS(RADIANS('Input data'!$B$10))</f>
        <v>5.6301351032067828</v>
      </c>
      <c r="G225">
        <f>E225*SIN(RADIANS('Input data'!$B$10))</f>
        <v>0</v>
      </c>
      <c r="H225">
        <f>1.22*EXP(-0.0001065*(P224+'Input data'!$B$12))</f>
        <v>1.233325864824522</v>
      </c>
      <c r="I225">
        <f t="shared" si="42"/>
        <v>40.4003347496514</v>
      </c>
      <c r="J225">
        <f>-0.5*H225*I225*AK225*'Input data'!$B$19*(B225-F225)/AF225</f>
        <v>5.0475275038624973E-3</v>
      </c>
      <c r="K225">
        <f>-0.5*H225*I225*AK225*'Input data'!$B$19*(C225-G225)/AF225</f>
        <v>0</v>
      </c>
      <c r="L225">
        <f>(-0.5*H225*AK225*I225*'Input data'!$B$19*D225/AF225)-'Input data'!$B$23</f>
        <v>-7.9322816663545126E-3</v>
      </c>
      <c r="M225">
        <f>IF(AF225&gt;0,IF(P224&lt;=Param_1,M224,M224+(B226*'Input data'!$B$24)),M224)</f>
        <v>94.47854469234332</v>
      </c>
      <c r="N225">
        <f>IF(AF225&gt;0,IF(P224&lt;=Param_1,N224,N224+(C226*'Input data'!$B$24)),N224)</f>
        <v>0</v>
      </c>
      <c r="O225">
        <f t="shared" si="41"/>
        <v>0</v>
      </c>
      <c r="P225">
        <f>IF(P224&lt;=-100000,0,IF(AF225&gt;0,IF(P224&lt;Param_1,P224,P224+(D226*'Input data'!$B$24)),P224))</f>
        <v>-102.005790336941</v>
      </c>
      <c r="Q225">
        <f t="shared" si="43"/>
        <v>94.47854469234332</v>
      </c>
      <c r="T225">
        <f t="shared" si="44"/>
        <v>0</v>
      </c>
      <c r="U225">
        <f t="shared" si="45"/>
        <v>0</v>
      </c>
      <c r="V225" s="74">
        <f>IF(X225=0,'Input data'!$Q$22,Q225)</f>
        <v>80.034601194491032</v>
      </c>
      <c r="W225" s="74">
        <f>IF(U225=0,'Input data'!$Q$23,U225)</f>
        <v>0</v>
      </c>
      <c r="X225" s="74">
        <f t="shared" si="51"/>
        <v>0</v>
      </c>
      <c r="Y225">
        <f>IF(P224&lt;Param_1,Y224,A226*'Input data'!$B$25*SIN(RADIANS('Input data'!$B$10)))</f>
        <v>0</v>
      </c>
      <c r="Z225">
        <f>IF(P224&lt;Param_1,Z224,A226*'Input data'!$B$25*COS(RADIANS('Input data'!$B$10)))</f>
        <v>62.083333333333186</v>
      </c>
      <c r="AA225">
        <f t="shared" si="49"/>
        <v>14.899999999999963</v>
      </c>
      <c r="AB225">
        <f t="shared" si="50"/>
        <v>5.1999999999999975</v>
      </c>
      <c r="AC225">
        <f>IF(ROUND(A225*10,3)='Input data'!$B$14*10,M225,0)</f>
        <v>0</v>
      </c>
      <c r="AD225">
        <f>IF(ROUND(A225*10,3)='Input data'!$B$14*10,N225,0)</f>
        <v>0</v>
      </c>
      <c r="AE225">
        <f>IF(ROUND(A225*10,3)='Input data'!$B$14*10,P225,0)</f>
        <v>0</v>
      </c>
      <c r="AF225">
        <f>IF('Input data'!$B$26="C",IF((3.14159265*1860/4)*((0.001*'Input data'!$B$20)-(2*'Input data'!$B$28*A225))^2*((0.33333*0.001*'Input data'!$B$20)-(2*'Input data'!$B$28*A225))&lt;0,(3.14159265*1860/4)*((0.001*'Input data'!$B$20)-(2*'Input data'!$B$28*A225))^2*((0.33333*0.001*'Input data'!$B$20)-(2*'Input data'!$B$28*A225)),(3.14159265*1860/4)*((0.001*'Input data'!$B$20)-(2*'Input data'!$B$28*A225))^2*((0.33333*0.001*'Input data'!$B$20)-(2*'Input data'!$B$28*A225))),'Input data'!$B$21)</f>
        <v>0.40680208090393727</v>
      </c>
      <c r="AG225">
        <f t="shared" si="46"/>
        <v>0</v>
      </c>
      <c r="AH225">
        <f t="shared" si="47"/>
        <v>0</v>
      </c>
      <c r="AI225">
        <f t="shared" si="40"/>
        <v>0</v>
      </c>
      <c r="AJ225">
        <f t="shared" si="48"/>
        <v>3000</v>
      </c>
      <c r="AK225">
        <f>IF('Input data'!$B$26="S",'Input data'!$B$22,3.1415*(('Input data'!$B$20*0.0005)-('Input data'!$B$28*A225))^2)</f>
        <v>7.8539816250000026E-3</v>
      </c>
    </row>
    <row r="226" spans="1:37" x14ac:dyDescent="0.2">
      <c r="A226" s="9">
        <f>A225+'Input data'!$B$24</f>
        <v>21.900000000000041</v>
      </c>
      <c r="B226">
        <f>B225+(J225*'Input data'!$B$24)</f>
        <v>5.6098252837185703</v>
      </c>
      <c r="C226">
        <f>C225+(K225*'Input data'!$B$24)</f>
        <v>0</v>
      </c>
      <c r="D226">
        <f>D225+(L225*'Input data'!$B$24)</f>
        <v>-40.401122615901492</v>
      </c>
      <c r="E226">
        <f>IF('Input data'!$B$13=2,'Input data'!$B$25*((0.1036*LN(ABS(P225+1)))+0.8731),IF('Input data'!$B$13=3,'Input data'!$B$25*((0.139*LN(ABS(P225+1)))+0.7503),'Input data'!$B$25))</f>
        <v>5.6301351032067828</v>
      </c>
      <c r="F226">
        <f>E226*COS(RADIANS('Input data'!$B$10))</f>
        <v>5.6301351032067828</v>
      </c>
      <c r="G226">
        <f>E226*SIN(RADIANS('Input data'!$B$10))</f>
        <v>0</v>
      </c>
      <c r="H226">
        <f>1.22*EXP(-0.0001065*(P225+'Input data'!$B$12))</f>
        <v>1.233325864824522</v>
      </c>
      <c r="I226">
        <f t="shared" si="42"/>
        <v>40.401127720818323</v>
      </c>
      <c r="J226">
        <f>-0.5*H226*I226*AK226*'Input data'!$B$19*(B226-F226)/AF226</f>
        <v>4.9252217833463882E-3</v>
      </c>
      <c r="K226">
        <f>-0.5*H226*I226*AK226*'Input data'!$B$19*(C226-G226)/AF226</f>
        <v>0</v>
      </c>
      <c r="L226">
        <f>(-0.5*H226*AK226*I226*'Input data'!$B$19*D226/AF226)-'Input data'!$B$23</f>
        <v>-7.5476250552792834E-3</v>
      </c>
      <c r="M226">
        <f>IF(AF226&gt;0,IF(P225&lt;=Param_1,M225,M225+(B227*'Input data'!$B$24)),M225)</f>
        <v>94.47854469234332</v>
      </c>
      <c r="N226">
        <f>IF(AF226&gt;0,IF(P225&lt;=Param_1,N225,N225+(C227*'Input data'!$B$24)),N225)</f>
        <v>0</v>
      </c>
      <c r="O226">
        <f t="shared" si="41"/>
        <v>0</v>
      </c>
      <c r="P226">
        <f>IF(P225&lt;=-100000,0,IF(AF226&gt;0,IF(P225&lt;Param_1,P225,P225+(D227*'Input data'!$B$24)),P225))</f>
        <v>-102.005790336941</v>
      </c>
      <c r="Q226">
        <f t="shared" si="43"/>
        <v>94.47854469234332</v>
      </c>
      <c r="T226">
        <f t="shared" si="44"/>
        <v>0</v>
      </c>
      <c r="U226">
        <f t="shared" si="45"/>
        <v>0</v>
      </c>
      <c r="V226" s="74">
        <f>IF(X226=0,'Input data'!$Q$22,Q226)</f>
        <v>80.034601194491032</v>
      </c>
      <c r="W226" s="74">
        <f>IF(U226=0,'Input data'!$Q$23,U226)</f>
        <v>0</v>
      </c>
      <c r="X226" s="74">
        <f t="shared" si="51"/>
        <v>0</v>
      </c>
      <c r="Y226">
        <f>IF(P225&lt;Param_1,Y225,A227*'Input data'!$B$25*SIN(RADIANS('Input data'!$B$10)))</f>
        <v>0</v>
      </c>
      <c r="Z226">
        <f>IF(P225&lt;Param_1,Z225,A227*'Input data'!$B$25*COS(RADIANS('Input data'!$B$10)))</f>
        <v>62.083333333333186</v>
      </c>
      <c r="AA226">
        <f t="shared" si="49"/>
        <v>14.899999999999963</v>
      </c>
      <c r="AB226">
        <f t="shared" si="50"/>
        <v>5.1999999999999975</v>
      </c>
      <c r="AC226">
        <f>IF(ROUND(A226*10,3)='Input data'!$B$14*10,M226,0)</f>
        <v>0</v>
      </c>
      <c r="AD226">
        <f>IF(ROUND(A226*10,3)='Input data'!$B$14*10,N226,0)</f>
        <v>0</v>
      </c>
      <c r="AE226">
        <f>IF(ROUND(A226*10,3)='Input data'!$B$14*10,P226,0)</f>
        <v>0</v>
      </c>
      <c r="AF226">
        <f>IF('Input data'!$B$26="C",IF((3.14159265*1860/4)*((0.001*'Input data'!$B$20)-(2*'Input data'!$B$28*A226))^2*((0.33333*0.001*'Input data'!$B$20)-(2*'Input data'!$B$28*A226))&lt;0,(3.14159265*1860/4)*((0.001*'Input data'!$B$20)-(2*'Input data'!$B$28*A226))^2*((0.33333*0.001*'Input data'!$B$20)-(2*'Input data'!$B$28*A226)),(3.14159265*1860/4)*((0.001*'Input data'!$B$20)-(2*'Input data'!$B$28*A226))^2*((0.33333*0.001*'Input data'!$B$20)-(2*'Input data'!$B$28*A226))),'Input data'!$B$21)</f>
        <v>0.40680208090393727</v>
      </c>
      <c r="AG226">
        <f t="shared" si="46"/>
        <v>0</v>
      </c>
      <c r="AH226">
        <f t="shared" si="47"/>
        <v>0</v>
      </c>
      <c r="AI226">
        <f t="shared" si="40"/>
        <v>0</v>
      </c>
      <c r="AJ226">
        <f t="shared" si="48"/>
        <v>3000</v>
      </c>
      <c r="AK226">
        <f>IF('Input data'!$B$26="S",'Input data'!$B$22,3.1415*(('Input data'!$B$20*0.0005)-('Input data'!$B$28*A226))^2)</f>
        <v>7.8539816250000026E-3</v>
      </c>
    </row>
    <row r="227" spans="1:37" x14ac:dyDescent="0.2">
      <c r="A227" s="9">
        <f>A226+'Input data'!$B$24</f>
        <v>22.000000000000043</v>
      </c>
      <c r="B227">
        <f>B226+(J226*'Input data'!$B$24)</f>
        <v>5.610317805896905</v>
      </c>
      <c r="C227">
        <f>C226+(K226*'Input data'!$B$24)</f>
        <v>0</v>
      </c>
      <c r="D227">
        <f>D226+(L226*'Input data'!$B$24)</f>
        <v>-40.401877378407022</v>
      </c>
      <c r="E227">
        <f>IF('Input data'!$B$13=2,'Input data'!$B$25*((0.1036*LN(ABS(P226+1)))+0.8731),IF('Input data'!$B$13=3,'Input data'!$B$25*((0.139*LN(ABS(P226+1)))+0.7503),'Input data'!$B$25))</f>
        <v>5.6301351032067828</v>
      </c>
      <c r="F227">
        <f>E227*COS(RADIANS('Input data'!$B$10))</f>
        <v>5.6301351032067828</v>
      </c>
      <c r="G227">
        <f>E227*SIN(RADIANS('Input data'!$B$10))</f>
        <v>0</v>
      </c>
      <c r="H227">
        <f>1.22*EXP(-0.0001065*(P226+'Input data'!$B$12))</f>
        <v>1.233325864824522</v>
      </c>
      <c r="I227">
        <f t="shared" si="42"/>
        <v>40.401882238642166</v>
      </c>
      <c r="J227">
        <f>-0.5*H227*I227*AK227*'Input data'!$B$19*(B227-F227)/AF227</f>
        <v>4.8058727102219005E-3</v>
      </c>
      <c r="K227">
        <f>-0.5*H227*I227*AK227*'Input data'!$B$19*(C227-G227)/AF227</f>
        <v>0</v>
      </c>
      <c r="L227">
        <f>(-0.5*H227*AK227*I227*'Input data'!$B$19*D227/AF227)-'Input data'!$B$23</f>
        <v>-7.1816144506779978E-3</v>
      </c>
      <c r="M227">
        <f>IF(AF227&gt;0,IF(P226&lt;=Param_1,M226,M226+(B228*'Input data'!$B$24)),M226)</f>
        <v>94.47854469234332</v>
      </c>
      <c r="N227">
        <f>IF(AF227&gt;0,IF(P226&lt;=Param_1,N226,N226+(C228*'Input data'!$B$24)),N226)</f>
        <v>0</v>
      </c>
      <c r="O227">
        <f t="shared" si="41"/>
        <v>0</v>
      </c>
      <c r="P227">
        <f>IF(P226&lt;=-100000,0,IF(AF227&gt;0,IF(P226&lt;Param_1,P226,P226+(D228*'Input data'!$B$24)),P226))</f>
        <v>-102.005790336941</v>
      </c>
      <c r="Q227">
        <f t="shared" si="43"/>
        <v>94.47854469234332</v>
      </c>
      <c r="T227">
        <f t="shared" si="44"/>
        <v>0</v>
      </c>
      <c r="U227">
        <f t="shared" si="45"/>
        <v>0</v>
      </c>
      <c r="V227" s="74">
        <f>IF(X227=0,'Input data'!$Q$22,Q227)</f>
        <v>80.034601194491032</v>
      </c>
      <c r="W227" s="74">
        <f>IF(U227=0,'Input data'!$Q$23,U227)</f>
        <v>0</v>
      </c>
      <c r="X227" s="74">
        <f t="shared" si="51"/>
        <v>0</v>
      </c>
      <c r="Y227">
        <f>IF(P226&lt;Param_1,Y226,A228*'Input data'!$B$25*SIN(RADIANS('Input data'!$B$10)))</f>
        <v>0</v>
      </c>
      <c r="Z227">
        <f>IF(P226&lt;Param_1,Z226,A228*'Input data'!$B$25*COS(RADIANS('Input data'!$B$10)))</f>
        <v>62.083333333333186</v>
      </c>
      <c r="AA227">
        <f t="shared" si="49"/>
        <v>14.899999999999963</v>
      </c>
      <c r="AB227">
        <f t="shared" si="50"/>
        <v>5.1999999999999975</v>
      </c>
      <c r="AC227">
        <f>IF(ROUND(A227*10,3)='Input data'!$B$14*10,M227,0)</f>
        <v>0</v>
      </c>
      <c r="AD227">
        <f>IF(ROUND(A227*10,3)='Input data'!$B$14*10,N227,0)</f>
        <v>0</v>
      </c>
      <c r="AE227">
        <f>IF(ROUND(A227*10,3)='Input data'!$B$14*10,P227,0)</f>
        <v>0</v>
      </c>
      <c r="AF227">
        <f>IF('Input data'!$B$26="C",IF((3.14159265*1860/4)*((0.001*'Input data'!$B$20)-(2*'Input data'!$B$28*A227))^2*((0.33333*0.001*'Input data'!$B$20)-(2*'Input data'!$B$28*A227))&lt;0,(3.14159265*1860/4)*((0.001*'Input data'!$B$20)-(2*'Input data'!$B$28*A227))^2*((0.33333*0.001*'Input data'!$B$20)-(2*'Input data'!$B$28*A227)),(3.14159265*1860/4)*((0.001*'Input data'!$B$20)-(2*'Input data'!$B$28*A227))^2*((0.33333*0.001*'Input data'!$B$20)-(2*'Input data'!$B$28*A227))),'Input data'!$B$21)</f>
        <v>0.40680208090393727</v>
      </c>
      <c r="AG227">
        <f t="shared" si="46"/>
        <v>0</v>
      </c>
      <c r="AH227">
        <f t="shared" si="47"/>
        <v>0</v>
      </c>
      <c r="AI227">
        <f t="shared" ref="AI227:AI235" si="52">IF(AF227&lt;=0,P227,0)</f>
        <v>0</v>
      </c>
      <c r="AJ227">
        <f t="shared" si="48"/>
        <v>3000</v>
      </c>
      <c r="AK227">
        <f>IF('Input data'!$B$26="S",'Input data'!$B$22,3.1415*(('Input data'!$B$20*0.0005)-('Input data'!$B$28*A227))^2)</f>
        <v>7.8539816250000026E-3</v>
      </c>
    </row>
    <row r="228" spans="1:37" x14ac:dyDescent="0.2">
      <c r="A228" s="9">
        <f>A227+'Input data'!$B$24</f>
        <v>22.100000000000044</v>
      </c>
      <c r="B228">
        <f>B227+(J227*'Input data'!$B$24)</f>
        <v>5.6107983931679275</v>
      </c>
      <c r="C228">
        <f>C227+(K227*'Input data'!$B$24)</f>
        <v>0</v>
      </c>
      <c r="D228">
        <f>D227+(L227*'Input data'!$B$24)</f>
        <v>-40.402595539852086</v>
      </c>
      <c r="E228">
        <f>IF('Input data'!$B$13=2,'Input data'!$B$25*((0.1036*LN(ABS(P227+1)))+0.8731),IF('Input data'!$B$13=3,'Input data'!$B$25*((0.139*LN(ABS(P227+1)))+0.7503),'Input data'!$B$25))</f>
        <v>5.6301351032067828</v>
      </c>
      <c r="F228">
        <f>E228*COS(RADIANS('Input data'!$B$10))</f>
        <v>5.6301351032067828</v>
      </c>
      <c r="G228">
        <f>E228*SIN(RADIANS('Input data'!$B$10))</f>
        <v>0</v>
      </c>
      <c r="H228">
        <f>1.22*EXP(-0.0001065*(P227+'Input data'!$B$12))</f>
        <v>1.233325864824522</v>
      </c>
      <c r="I228">
        <f t="shared" si="42"/>
        <v>40.402600167133187</v>
      </c>
      <c r="J228">
        <f>-0.5*H228*I228*AK228*'Input data'!$B$19*(B228-F228)/AF228</f>
        <v>4.689409305427693E-3</v>
      </c>
      <c r="K228">
        <f>-0.5*H228*I228*AK228*'Input data'!$B$19*(C228-G228)/AF228</f>
        <v>0</v>
      </c>
      <c r="L228">
        <f>(-0.5*H228*AK228*I228*'Input data'!$B$19*D228/AF228)-'Input data'!$B$23</f>
        <v>-6.8333466601515624E-3</v>
      </c>
      <c r="M228">
        <f>IF(AF228&gt;0,IF(P227&lt;=Param_1,M227,M227+(B229*'Input data'!$B$24)),M227)</f>
        <v>94.47854469234332</v>
      </c>
      <c r="N228">
        <f>IF(AF228&gt;0,IF(P227&lt;=Param_1,N227,N227+(C229*'Input data'!$B$24)),N227)</f>
        <v>0</v>
      </c>
      <c r="O228">
        <f t="shared" si="41"/>
        <v>0</v>
      </c>
      <c r="P228">
        <f>IF(P227&lt;=-100000,0,IF(AF228&gt;0,IF(P227&lt;Param_1,P227,P227+(D229*'Input data'!$B$24)),P227))</f>
        <v>-102.005790336941</v>
      </c>
      <c r="Q228">
        <f t="shared" si="43"/>
        <v>94.47854469234332</v>
      </c>
      <c r="T228">
        <f t="shared" si="44"/>
        <v>0</v>
      </c>
      <c r="U228">
        <f t="shared" si="45"/>
        <v>0</v>
      </c>
      <c r="V228" s="74">
        <f>IF(X228=0,'Input data'!$Q$22,Q228)</f>
        <v>80.034601194491032</v>
      </c>
      <c r="W228" s="74">
        <f>IF(U228=0,'Input data'!$Q$23,U228)</f>
        <v>0</v>
      </c>
      <c r="X228" s="74">
        <f t="shared" si="51"/>
        <v>0</v>
      </c>
      <c r="Y228">
        <f>IF(P227&lt;Param_1,Y227,A229*'Input data'!$B$25*SIN(RADIANS('Input data'!$B$10)))</f>
        <v>0</v>
      </c>
      <c r="Z228">
        <f>IF(P227&lt;Param_1,Z227,A229*'Input data'!$B$25*COS(RADIANS('Input data'!$B$10)))</f>
        <v>62.083333333333186</v>
      </c>
      <c r="AA228">
        <f t="shared" si="49"/>
        <v>14.899999999999963</v>
      </c>
      <c r="AB228">
        <f t="shared" si="50"/>
        <v>5.1999999999999975</v>
      </c>
      <c r="AC228">
        <f>IF(ROUND(A228*10,3)='Input data'!$B$14*10,M228,0)</f>
        <v>0</v>
      </c>
      <c r="AD228">
        <f>IF(ROUND(A228*10,3)='Input data'!$B$14*10,N228,0)</f>
        <v>0</v>
      </c>
      <c r="AE228">
        <f>IF(ROUND(A228*10,3)='Input data'!$B$14*10,P228,0)</f>
        <v>0</v>
      </c>
      <c r="AF228">
        <f>IF('Input data'!$B$26="C",IF((3.14159265*1860/4)*((0.001*'Input data'!$B$20)-(2*'Input data'!$B$28*A228))^2*((0.33333*0.001*'Input data'!$B$20)-(2*'Input data'!$B$28*A228))&lt;0,(3.14159265*1860/4)*((0.001*'Input data'!$B$20)-(2*'Input data'!$B$28*A228))^2*((0.33333*0.001*'Input data'!$B$20)-(2*'Input data'!$B$28*A228)),(3.14159265*1860/4)*((0.001*'Input data'!$B$20)-(2*'Input data'!$B$28*A228))^2*((0.33333*0.001*'Input data'!$B$20)-(2*'Input data'!$B$28*A228))),'Input data'!$B$21)</f>
        <v>0.40680208090393727</v>
      </c>
      <c r="AG228">
        <f t="shared" si="46"/>
        <v>0</v>
      </c>
      <c r="AH228">
        <f t="shared" si="47"/>
        <v>0</v>
      </c>
      <c r="AI228">
        <f t="shared" si="52"/>
        <v>0</v>
      </c>
      <c r="AJ228">
        <f t="shared" si="48"/>
        <v>3000</v>
      </c>
      <c r="AK228">
        <f>IF('Input data'!$B$26="S",'Input data'!$B$22,3.1415*(('Input data'!$B$20*0.0005)-('Input data'!$B$28*A228))^2)</f>
        <v>7.8539816250000026E-3</v>
      </c>
    </row>
    <row r="229" spans="1:37" x14ac:dyDescent="0.2">
      <c r="A229" s="9">
        <f>A228+'Input data'!$B$24</f>
        <v>22.200000000000045</v>
      </c>
      <c r="B229">
        <f>B228+(J228*'Input data'!$B$24)</f>
        <v>5.6112673340984704</v>
      </c>
      <c r="C229">
        <f>C228+(K228*'Input data'!$B$24)</f>
        <v>0</v>
      </c>
      <c r="D229">
        <f>D228+(L228*'Input data'!$B$24)</f>
        <v>-40.403278874518101</v>
      </c>
      <c r="E229">
        <f>IF('Input data'!$B$13=2,'Input data'!$B$25*((0.1036*LN(ABS(P228+1)))+0.8731),IF('Input data'!$B$13=3,'Input data'!$B$25*((0.139*LN(ABS(P228+1)))+0.7503),'Input data'!$B$25))</f>
        <v>5.6301351032067828</v>
      </c>
      <c r="F229">
        <f>E229*COS(RADIANS('Input data'!$B$10))</f>
        <v>5.6301351032067828</v>
      </c>
      <c r="G229">
        <f>E229*SIN(RADIANS('Input data'!$B$10))</f>
        <v>0</v>
      </c>
      <c r="H229">
        <f>1.22*EXP(-0.0001065*(P228+'Input data'!$B$12))</f>
        <v>1.233325864824522</v>
      </c>
      <c r="I229">
        <f t="shared" si="42"/>
        <v>40.403283280010697</v>
      </c>
      <c r="J229">
        <f>-0.5*H229*I229*AK229*'Input data'!$B$19*(B229-F229)/AF229</f>
        <v>4.5757622583070118E-3</v>
      </c>
      <c r="K229">
        <f>-0.5*H229*I229*AK229*'Input data'!$B$19*(C229-G229)/AF229</f>
        <v>0</v>
      </c>
      <c r="L229">
        <f>(-0.5*H229*AK229*I229*'Input data'!$B$19*D229/AF229)-'Input data'!$B$23</f>
        <v>-6.5019621782145265E-3</v>
      </c>
      <c r="M229">
        <f>IF(AF229&gt;0,IF(P228&lt;=Param_1,M228,M228+(B230*'Input data'!$B$24)),M228)</f>
        <v>94.47854469234332</v>
      </c>
      <c r="N229">
        <f>IF(AF229&gt;0,IF(P228&lt;=Param_1,N228,N228+(C230*'Input data'!$B$24)),N228)</f>
        <v>0</v>
      </c>
      <c r="O229">
        <f t="shared" si="41"/>
        <v>0</v>
      </c>
      <c r="P229">
        <f>IF(P228&lt;=-100000,0,IF(AF229&gt;0,IF(P228&lt;Param_1,P228,P228+(D230*'Input data'!$B$24)),P228))</f>
        <v>-102.005790336941</v>
      </c>
      <c r="Q229">
        <f t="shared" si="43"/>
        <v>94.47854469234332</v>
      </c>
      <c r="T229">
        <f t="shared" si="44"/>
        <v>0</v>
      </c>
      <c r="U229">
        <f t="shared" si="45"/>
        <v>0</v>
      </c>
      <c r="V229" s="74">
        <f>IF(X229=0,'Input data'!$Q$22,Q229)</f>
        <v>80.034601194491032</v>
      </c>
      <c r="W229" s="74">
        <f>IF(U229=0,'Input data'!$Q$23,U229)</f>
        <v>0</v>
      </c>
      <c r="X229" s="74">
        <f t="shared" si="51"/>
        <v>0</v>
      </c>
      <c r="Y229">
        <f>IF(P228&lt;Param_1,Y228,A230*'Input data'!$B$25*SIN(RADIANS('Input data'!$B$10)))</f>
        <v>0</v>
      </c>
      <c r="Z229">
        <f>IF(P228&lt;Param_1,Z228,A230*'Input data'!$B$25*COS(RADIANS('Input data'!$B$10)))</f>
        <v>62.083333333333186</v>
      </c>
      <c r="AA229">
        <f t="shared" si="49"/>
        <v>14.899999999999963</v>
      </c>
      <c r="AB229">
        <f t="shared" si="50"/>
        <v>5.1999999999999975</v>
      </c>
      <c r="AC229">
        <f>IF(ROUND(A229*10,3)='Input data'!$B$14*10,M229,0)</f>
        <v>0</v>
      </c>
      <c r="AD229">
        <f>IF(ROUND(A229*10,3)='Input data'!$B$14*10,N229,0)</f>
        <v>0</v>
      </c>
      <c r="AE229">
        <f>IF(ROUND(A229*10,3)='Input data'!$B$14*10,P229,0)</f>
        <v>0</v>
      </c>
      <c r="AF229">
        <f>IF('Input data'!$B$26="C",IF((3.14159265*1860/4)*((0.001*'Input data'!$B$20)-(2*'Input data'!$B$28*A229))^2*((0.33333*0.001*'Input data'!$B$20)-(2*'Input data'!$B$28*A229))&lt;0,(3.14159265*1860/4)*((0.001*'Input data'!$B$20)-(2*'Input data'!$B$28*A229))^2*((0.33333*0.001*'Input data'!$B$20)-(2*'Input data'!$B$28*A229)),(3.14159265*1860/4)*((0.001*'Input data'!$B$20)-(2*'Input data'!$B$28*A229))^2*((0.33333*0.001*'Input data'!$B$20)-(2*'Input data'!$B$28*A229))),'Input data'!$B$21)</f>
        <v>0.40680208090393727</v>
      </c>
      <c r="AG229">
        <f t="shared" si="46"/>
        <v>0</v>
      </c>
      <c r="AH229">
        <f t="shared" si="47"/>
        <v>0</v>
      </c>
      <c r="AI229">
        <f t="shared" si="52"/>
        <v>0</v>
      </c>
      <c r="AJ229">
        <f t="shared" si="48"/>
        <v>3000</v>
      </c>
      <c r="AK229">
        <f>IF('Input data'!$B$26="S",'Input data'!$B$22,3.1415*(('Input data'!$B$20*0.0005)-('Input data'!$B$28*A229))^2)</f>
        <v>7.8539816250000026E-3</v>
      </c>
    </row>
    <row r="230" spans="1:37" x14ac:dyDescent="0.2">
      <c r="A230" s="9">
        <f>A229+'Input data'!$B$24</f>
        <v>22.300000000000047</v>
      </c>
      <c r="B230">
        <f>B229+(J229*'Input data'!$B$24)</f>
        <v>5.611724910324301</v>
      </c>
      <c r="C230">
        <f>C229+(K229*'Input data'!$B$24)</f>
        <v>0</v>
      </c>
      <c r="D230">
        <f>D229+(L229*'Input data'!$B$24)</f>
        <v>-40.40392907073592</v>
      </c>
      <c r="E230">
        <f>IF('Input data'!$B$13=2,'Input data'!$B$25*((0.1036*LN(ABS(P229+1)))+0.8731),IF('Input data'!$B$13=3,'Input data'!$B$25*((0.139*LN(ABS(P229+1)))+0.7503),'Input data'!$B$25))</f>
        <v>5.6301351032067828</v>
      </c>
      <c r="F230">
        <f>E230*COS(RADIANS('Input data'!$B$10))</f>
        <v>5.6301351032067828</v>
      </c>
      <c r="G230">
        <f>E230*SIN(RADIANS('Input data'!$B$10))</f>
        <v>0</v>
      </c>
      <c r="H230">
        <f>1.22*EXP(-0.0001065*(P229+'Input data'!$B$12))</f>
        <v>1.233325864824522</v>
      </c>
      <c r="I230">
        <f t="shared" si="42"/>
        <v>40.403933265070386</v>
      </c>
      <c r="J230">
        <f>-0.5*H230*I230*AK230*'Input data'!$B$19*(B230-F230)/AF230</f>
        <v>4.4648638899579714E-3</v>
      </c>
      <c r="K230">
        <f>-0.5*H230*I230*AK230*'Input data'!$B$19*(C230-G230)/AF230</f>
        <v>0</v>
      </c>
      <c r="L230">
        <f>(-0.5*H230*AK230*I230*'Input data'!$B$19*D230/AF230)-'Input data'!$B$23</f>
        <v>-6.1866430791450711E-3</v>
      </c>
      <c r="M230">
        <f>IF(AF230&gt;0,IF(P229&lt;=Param_1,M229,M229+(B231*'Input data'!$B$24)),M229)</f>
        <v>94.47854469234332</v>
      </c>
      <c r="N230">
        <f>IF(AF230&gt;0,IF(P229&lt;=Param_1,N229,N229+(C231*'Input data'!$B$24)),N229)</f>
        <v>0</v>
      </c>
      <c r="O230">
        <f t="shared" si="41"/>
        <v>0</v>
      </c>
      <c r="P230">
        <f>IF(P229&lt;=-100000,0,IF(AF230&gt;0,IF(P229&lt;Param_1,P229,P229+(D231*'Input data'!$B$24)),P229))</f>
        <v>-102.005790336941</v>
      </c>
      <c r="Q230">
        <f t="shared" si="43"/>
        <v>94.47854469234332</v>
      </c>
      <c r="T230">
        <f t="shared" si="44"/>
        <v>0</v>
      </c>
      <c r="U230">
        <f t="shared" si="45"/>
        <v>0</v>
      </c>
      <c r="V230" s="74">
        <f>IF(X230=0,'Input data'!$Q$22,Q230)</f>
        <v>80.034601194491032</v>
      </c>
      <c r="W230" s="74">
        <f>IF(U230=0,'Input data'!$Q$23,U230)</f>
        <v>0</v>
      </c>
      <c r="X230" s="74">
        <f t="shared" si="51"/>
        <v>0</v>
      </c>
      <c r="Y230">
        <f>IF(P229&lt;Param_1,Y229,A231*'Input data'!$B$25*SIN(RADIANS('Input data'!$B$10)))</f>
        <v>0</v>
      </c>
      <c r="Z230">
        <f>IF(P229&lt;Param_1,Z229,A231*'Input data'!$B$25*COS(RADIANS('Input data'!$B$10)))</f>
        <v>62.083333333333186</v>
      </c>
      <c r="AA230">
        <f t="shared" si="49"/>
        <v>14.899999999999963</v>
      </c>
      <c r="AB230">
        <f t="shared" si="50"/>
        <v>5.1999999999999975</v>
      </c>
      <c r="AC230">
        <f>IF(ROUND(A230*10,3)='Input data'!$B$14*10,M230,0)</f>
        <v>0</v>
      </c>
      <c r="AD230">
        <f>IF(ROUND(A230*10,3)='Input data'!$B$14*10,N230,0)</f>
        <v>0</v>
      </c>
      <c r="AE230">
        <f>IF(ROUND(A230*10,3)='Input data'!$B$14*10,P230,0)</f>
        <v>0</v>
      </c>
      <c r="AF230">
        <f>IF('Input data'!$B$26="C",IF((3.14159265*1860/4)*((0.001*'Input data'!$B$20)-(2*'Input data'!$B$28*A230))^2*((0.33333*0.001*'Input data'!$B$20)-(2*'Input data'!$B$28*A230))&lt;0,(3.14159265*1860/4)*((0.001*'Input data'!$B$20)-(2*'Input data'!$B$28*A230))^2*((0.33333*0.001*'Input data'!$B$20)-(2*'Input data'!$B$28*A230)),(3.14159265*1860/4)*((0.001*'Input data'!$B$20)-(2*'Input data'!$B$28*A230))^2*((0.33333*0.001*'Input data'!$B$20)-(2*'Input data'!$B$28*A230))),'Input data'!$B$21)</f>
        <v>0.40680208090393727</v>
      </c>
      <c r="AG230">
        <f t="shared" si="46"/>
        <v>0</v>
      </c>
      <c r="AH230">
        <f t="shared" si="47"/>
        <v>0</v>
      </c>
      <c r="AI230">
        <f t="shared" si="52"/>
        <v>0</v>
      </c>
      <c r="AJ230">
        <f t="shared" si="48"/>
        <v>3000</v>
      </c>
      <c r="AK230">
        <f>IF('Input data'!$B$26="S",'Input data'!$B$22,3.1415*(('Input data'!$B$20*0.0005)-('Input data'!$B$28*A230))^2)</f>
        <v>7.8539816250000026E-3</v>
      </c>
    </row>
    <row r="231" spans="1:37" x14ac:dyDescent="0.2">
      <c r="A231" s="9">
        <f>A230+'Input data'!$B$24</f>
        <v>22.400000000000048</v>
      </c>
      <c r="B231">
        <f>B230+(J230*'Input data'!$B$24)</f>
        <v>5.6121713967132969</v>
      </c>
      <c r="C231">
        <f>C230+(K230*'Input data'!$B$24)</f>
        <v>0</v>
      </c>
      <c r="D231">
        <f>D230+(L230*'Input data'!$B$24)</f>
        <v>-40.404547735043835</v>
      </c>
      <c r="E231">
        <f>IF('Input data'!$B$13=2,'Input data'!$B$25*((0.1036*LN(ABS(P230+1)))+0.8731),IF('Input data'!$B$13=3,'Input data'!$B$25*((0.139*LN(ABS(P230+1)))+0.7503),'Input data'!$B$25))</f>
        <v>5.6301351032067828</v>
      </c>
      <c r="F231">
        <f>E231*COS(RADIANS('Input data'!$B$10))</f>
        <v>5.6301351032067828</v>
      </c>
      <c r="G231">
        <f>E231*SIN(RADIANS('Input data'!$B$10))</f>
        <v>0</v>
      </c>
      <c r="H231">
        <f>1.22*EXP(-0.0001065*(P230+'Input data'!$B$12))</f>
        <v>1.233325864824522</v>
      </c>
      <c r="I231">
        <f t="shared" si="42"/>
        <v>40.40455172834104</v>
      </c>
      <c r="J231">
        <f>-0.5*H231*I231*AK231*'Input data'!$B$19*(B231-F231)/AF231</f>
        <v>4.3566481171998118E-3</v>
      </c>
      <c r="K231">
        <f>-0.5*H231*I231*AK231*'Input data'!$B$19*(C231-G231)/AF231</f>
        <v>0</v>
      </c>
      <c r="L231">
        <f>(-0.5*H231*AK231*I231*'Input data'!$B$19*D231/AF231)-'Input data'!$B$23</f>
        <v>-5.8866110108652947E-3</v>
      </c>
      <c r="M231">
        <f>IF(AF231&gt;0,IF(P230&lt;=Param_1,M230,M230+(B232*'Input data'!$B$24)),M230)</f>
        <v>94.47854469234332</v>
      </c>
      <c r="N231">
        <f>IF(AF231&gt;0,IF(P230&lt;=Param_1,N230,N230+(C232*'Input data'!$B$24)),N230)</f>
        <v>0</v>
      </c>
      <c r="O231">
        <f t="shared" si="41"/>
        <v>0</v>
      </c>
      <c r="P231">
        <f>IF(P230&lt;=-100000,0,IF(AF231&gt;0,IF(P230&lt;Param_1,P230,P230+(D232*'Input data'!$B$24)),P230))</f>
        <v>-102.005790336941</v>
      </c>
      <c r="Q231">
        <f t="shared" si="43"/>
        <v>94.47854469234332</v>
      </c>
      <c r="T231">
        <f t="shared" si="44"/>
        <v>0</v>
      </c>
      <c r="U231">
        <f t="shared" si="45"/>
        <v>0</v>
      </c>
      <c r="V231" s="74">
        <f>IF(X231=0,'Input data'!$Q$22,Q231)</f>
        <v>80.034601194491032</v>
      </c>
      <c r="W231" s="74">
        <f>IF(U231=0,'Input data'!$Q$23,U231)</f>
        <v>0</v>
      </c>
      <c r="X231" s="74">
        <f t="shared" si="51"/>
        <v>0</v>
      </c>
      <c r="Y231">
        <f>IF(P230&lt;Param_1,Y230,A232*'Input data'!$B$25*SIN(RADIANS('Input data'!$B$10)))</f>
        <v>0</v>
      </c>
      <c r="Z231">
        <f>IF(P230&lt;Param_1,Z230,A232*'Input data'!$B$25*COS(RADIANS('Input data'!$B$10)))</f>
        <v>62.083333333333186</v>
      </c>
      <c r="AA231">
        <f t="shared" si="49"/>
        <v>14.899999999999963</v>
      </c>
      <c r="AB231">
        <f t="shared" si="50"/>
        <v>5.1999999999999975</v>
      </c>
      <c r="AC231">
        <f>IF(ROUND(A231*10,3)='Input data'!$B$14*10,M231,0)</f>
        <v>0</v>
      </c>
      <c r="AD231">
        <f>IF(ROUND(A231*10,3)='Input data'!$B$14*10,N231,0)</f>
        <v>0</v>
      </c>
      <c r="AE231">
        <f>IF(ROUND(A231*10,3)='Input data'!$B$14*10,P231,0)</f>
        <v>0</v>
      </c>
      <c r="AF231">
        <f>IF('Input data'!$B$26="C",IF((3.14159265*1860/4)*((0.001*'Input data'!$B$20)-(2*'Input data'!$B$28*A231))^2*((0.33333*0.001*'Input data'!$B$20)-(2*'Input data'!$B$28*A231))&lt;0,(3.14159265*1860/4)*((0.001*'Input data'!$B$20)-(2*'Input data'!$B$28*A231))^2*((0.33333*0.001*'Input data'!$B$20)-(2*'Input data'!$B$28*A231)),(3.14159265*1860/4)*((0.001*'Input data'!$B$20)-(2*'Input data'!$B$28*A231))^2*((0.33333*0.001*'Input data'!$B$20)-(2*'Input data'!$B$28*A231))),'Input data'!$B$21)</f>
        <v>0.40680208090393727</v>
      </c>
      <c r="AG231">
        <f t="shared" si="46"/>
        <v>0</v>
      </c>
      <c r="AH231">
        <f t="shared" si="47"/>
        <v>0</v>
      </c>
      <c r="AI231">
        <f t="shared" si="52"/>
        <v>0</v>
      </c>
      <c r="AJ231">
        <f t="shared" si="48"/>
        <v>3000</v>
      </c>
      <c r="AK231">
        <f>IF('Input data'!$B$26="S",'Input data'!$B$22,3.1415*(('Input data'!$B$20*0.0005)-('Input data'!$B$28*A231))^2)</f>
        <v>7.8539816250000026E-3</v>
      </c>
    </row>
    <row r="232" spans="1:37" x14ac:dyDescent="0.2">
      <c r="A232" s="9">
        <f>A231+'Input data'!$B$24</f>
        <v>22.50000000000005</v>
      </c>
      <c r="B232">
        <f>B231+(J231*'Input data'!$B$24)</f>
        <v>5.6126070615250168</v>
      </c>
      <c r="C232">
        <f>C231+(K231*'Input data'!$B$24)</f>
        <v>0</v>
      </c>
      <c r="D232">
        <f>D231+(L231*'Input data'!$B$24)</f>
        <v>-40.405136396144918</v>
      </c>
      <c r="E232">
        <f>IF('Input data'!$B$13=2,'Input data'!$B$25*((0.1036*LN(ABS(P231+1)))+0.8731),IF('Input data'!$B$13=3,'Input data'!$B$25*((0.139*LN(ABS(P231+1)))+0.7503),'Input data'!$B$25))</f>
        <v>5.6301351032067828</v>
      </c>
      <c r="F232">
        <f>E232*COS(RADIANS('Input data'!$B$10))</f>
        <v>5.6301351032067828</v>
      </c>
      <c r="G232">
        <f>E232*SIN(RADIANS('Input data'!$B$10))</f>
        <v>0</v>
      </c>
      <c r="H232">
        <f>1.22*EXP(-0.0001065*(P231+'Input data'!$B$12))</f>
        <v>1.233325864824522</v>
      </c>
      <c r="I232">
        <f t="shared" si="42"/>
        <v>40.405140198040648</v>
      </c>
      <c r="J232">
        <f>-0.5*H232*I232*AK232*'Input data'!$B$19*(B232-F232)/AF232</f>
        <v>4.2510504171603602E-3</v>
      </c>
      <c r="K232">
        <f>-0.5*H232*I232*AK232*'Input data'!$B$19*(C232-G232)/AF232</f>
        <v>0</v>
      </c>
      <c r="L232">
        <f>(-0.5*H232*AK232*I232*'Input data'!$B$19*D232/AF232)-'Input data'!$B$23</f>
        <v>-5.6011252851426718E-3</v>
      </c>
      <c r="M232">
        <f>IF(AF232&gt;0,IF(P231&lt;=Param_1,M231,M231+(B233*'Input data'!$B$24)),M231)</f>
        <v>94.47854469234332</v>
      </c>
      <c r="N232">
        <f>IF(AF232&gt;0,IF(P231&lt;=Param_1,N231,N231+(C233*'Input data'!$B$24)),N231)</f>
        <v>0</v>
      </c>
      <c r="O232">
        <f t="shared" si="41"/>
        <v>0</v>
      </c>
      <c r="P232">
        <f>IF(P231&lt;=-100000,0,IF(AF232&gt;0,IF(P231&lt;Param_1,P231,P231+(D233*'Input data'!$B$24)),P231))</f>
        <v>-102.005790336941</v>
      </c>
      <c r="Q232">
        <f t="shared" si="43"/>
        <v>94.47854469234332</v>
      </c>
      <c r="T232">
        <f t="shared" si="44"/>
        <v>0</v>
      </c>
      <c r="U232">
        <f t="shared" si="45"/>
        <v>0</v>
      </c>
      <c r="V232" s="74">
        <f>IF(X232=0,'Input data'!$Q$22,Q232)</f>
        <v>80.034601194491032</v>
      </c>
      <c r="W232" s="74">
        <f>IF(U232=0,'Input data'!$Q$23,U232)</f>
        <v>0</v>
      </c>
      <c r="X232" s="74">
        <f t="shared" si="51"/>
        <v>0</v>
      </c>
      <c r="Y232">
        <f>IF(P231&lt;Param_1,Y231,A233*'Input data'!$B$25*SIN(RADIANS('Input data'!$B$10)))</f>
        <v>0</v>
      </c>
      <c r="Z232">
        <f>IF(P231&lt;Param_1,Z231,A233*'Input data'!$B$25*COS(RADIANS('Input data'!$B$10)))</f>
        <v>62.083333333333186</v>
      </c>
      <c r="AA232">
        <f t="shared" si="49"/>
        <v>14.899999999999963</v>
      </c>
      <c r="AB232">
        <f t="shared" si="50"/>
        <v>5.1999999999999975</v>
      </c>
      <c r="AC232">
        <f>IF(ROUND(A232*10,3)='Input data'!$B$14*10,M232,0)</f>
        <v>0</v>
      </c>
      <c r="AD232">
        <f>IF(ROUND(A232*10,3)='Input data'!$B$14*10,N232,0)</f>
        <v>0</v>
      </c>
      <c r="AE232">
        <f>IF(ROUND(A232*10,3)='Input data'!$B$14*10,P232,0)</f>
        <v>0</v>
      </c>
      <c r="AF232">
        <f>IF('Input data'!$B$26="C",IF((3.14159265*1860/4)*((0.001*'Input data'!$B$20)-(2*'Input data'!$B$28*A232))^2*((0.33333*0.001*'Input data'!$B$20)-(2*'Input data'!$B$28*A232))&lt;0,(3.14159265*1860/4)*((0.001*'Input data'!$B$20)-(2*'Input data'!$B$28*A232))^2*((0.33333*0.001*'Input data'!$B$20)-(2*'Input data'!$B$28*A232)),(3.14159265*1860/4)*((0.001*'Input data'!$B$20)-(2*'Input data'!$B$28*A232))^2*((0.33333*0.001*'Input data'!$B$20)-(2*'Input data'!$B$28*A232))),'Input data'!$B$21)</f>
        <v>0.40680208090393727</v>
      </c>
      <c r="AG232">
        <f t="shared" si="46"/>
        <v>0</v>
      </c>
      <c r="AH232">
        <f t="shared" si="47"/>
        <v>0</v>
      </c>
      <c r="AI232">
        <f t="shared" si="52"/>
        <v>0</v>
      </c>
      <c r="AJ232">
        <f t="shared" si="48"/>
        <v>3000</v>
      </c>
      <c r="AK232">
        <f>IF('Input data'!$B$26="S",'Input data'!$B$22,3.1415*(('Input data'!$B$20*0.0005)-('Input data'!$B$28*A232))^2)</f>
        <v>7.8539816250000026E-3</v>
      </c>
    </row>
    <row r="233" spans="1:37" x14ac:dyDescent="0.2">
      <c r="A233" s="9">
        <f>A232+'Input data'!$B$24</f>
        <v>22.600000000000051</v>
      </c>
      <c r="B233">
        <f>B232+(J232*'Input data'!$B$24)</f>
        <v>5.6130321665667324</v>
      </c>
      <c r="C233">
        <f>C232+(K232*'Input data'!$B$24)</f>
        <v>0</v>
      </c>
      <c r="D233">
        <f>D232+(L232*'Input data'!$B$24)</f>
        <v>-40.405696508673429</v>
      </c>
      <c r="E233">
        <f>IF('Input data'!$B$13=2,'Input data'!$B$25*((0.1036*LN(ABS(P232+1)))+0.8731),IF('Input data'!$B$13=3,'Input data'!$B$25*((0.139*LN(ABS(P232+1)))+0.7503),'Input data'!$B$25))</f>
        <v>5.6301351032067828</v>
      </c>
      <c r="F233">
        <f>E233*COS(RADIANS('Input data'!$B$10))</f>
        <v>5.6301351032067828</v>
      </c>
      <c r="G233">
        <f>E233*SIN(RADIANS('Input data'!$B$10))</f>
        <v>0</v>
      </c>
      <c r="H233">
        <f>1.22*EXP(-0.0001065*(P232+'Input data'!$B$12))</f>
        <v>1.233325864824522</v>
      </c>
      <c r="I233">
        <f t="shared" si="42"/>
        <v>40.405700128341621</v>
      </c>
      <c r="J233">
        <f>-0.5*H233*I233*AK233*'Input data'!$B$19*(B233-F233)/AF233</f>
        <v>4.1480077924861847E-3</v>
      </c>
      <c r="K233">
        <f>-0.5*H233*I233*AK233*'Input data'!$B$19*(C233-G233)/AF233</f>
        <v>0</v>
      </c>
      <c r="L233">
        <f>(-0.5*H233*AK233*I233*'Input data'!$B$19*D233/AF233)-'Input data'!$B$23</f>
        <v>-5.3294810594746167E-3</v>
      </c>
      <c r="M233">
        <f>IF(AF233&gt;0,IF(P232&lt;=Param_1,M232,M232+(B234*'Input data'!$B$24)),M232)</f>
        <v>94.47854469234332</v>
      </c>
      <c r="N233">
        <f>IF(AF233&gt;0,IF(P232&lt;=Param_1,N232,N232+(C234*'Input data'!$B$24)),N232)</f>
        <v>0</v>
      </c>
      <c r="O233">
        <f t="shared" si="41"/>
        <v>0</v>
      </c>
      <c r="P233">
        <f>IF(P232&lt;=-100000,0,IF(AF233&gt;0,IF(P232&lt;Param_1,P232,P232+(D234*'Input data'!$B$24)),P232))</f>
        <v>-102.005790336941</v>
      </c>
      <c r="Q233">
        <f t="shared" si="43"/>
        <v>94.47854469234332</v>
      </c>
      <c r="T233">
        <f t="shared" si="44"/>
        <v>0</v>
      </c>
      <c r="U233">
        <f t="shared" si="45"/>
        <v>0</v>
      </c>
      <c r="V233" s="74">
        <f>IF(X233=0,'Input data'!$Q$22,Q233)</f>
        <v>80.034601194491032</v>
      </c>
      <c r="W233" s="74">
        <f>IF(U233=0,'Input data'!$Q$23,U233)</f>
        <v>0</v>
      </c>
      <c r="X233" s="74">
        <f t="shared" si="51"/>
        <v>0</v>
      </c>
      <c r="Y233">
        <f>IF(P232&lt;Param_1,Y232,A234*'Input data'!$B$25*SIN(RADIANS('Input data'!$B$10)))</f>
        <v>0</v>
      </c>
      <c r="Z233">
        <f>IF(P232&lt;Param_1,Z232,A234*'Input data'!$B$25*COS(RADIANS('Input data'!$B$10)))</f>
        <v>62.083333333333186</v>
      </c>
      <c r="AA233">
        <f t="shared" si="49"/>
        <v>14.899999999999963</v>
      </c>
      <c r="AB233">
        <f t="shared" si="50"/>
        <v>5.1999999999999975</v>
      </c>
      <c r="AC233">
        <f>IF(ROUND(A233*10,3)='Input data'!$B$14*10,M233,0)</f>
        <v>0</v>
      </c>
      <c r="AD233">
        <f>IF(ROUND(A233*10,3)='Input data'!$B$14*10,N233,0)</f>
        <v>0</v>
      </c>
      <c r="AE233">
        <f>IF(ROUND(A233*10,3)='Input data'!$B$14*10,P233,0)</f>
        <v>0</v>
      </c>
      <c r="AF233">
        <f>IF('Input data'!$B$26="C",IF((3.14159265*1860/4)*((0.001*'Input data'!$B$20)-(2*'Input data'!$B$28*A233))^2*((0.33333*0.001*'Input data'!$B$20)-(2*'Input data'!$B$28*A233))&lt;0,(3.14159265*1860/4)*((0.001*'Input data'!$B$20)-(2*'Input data'!$B$28*A233))^2*((0.33333*0.001*'Input data'!$B$20)-(2*'Input data'!$B$28*A233)),(3.14159265*1860/4)*((0.001*'Input data'!$B$20)-(2*'Input data'!$B$28*A233))^2*((0.33333*0.001*'Input data'!$B$20)-(2*'Input data'!$B$28*A233))),'Input data'!$B$21)</f>
        <v>0.40680208090393727</v>
      </c>
      <c r="AG233">
        <f t="shared" si="46"/>
        <v>0</v>
      </c>
      <c r="AH233">
        <f t="shared" si="47"/>
        <v>0</v>
      </c>
      <c r="AI233">
        <f t="shared" si="52"/>
        <v>0</v>
      </c>
      <c r="AJ233">
        <f t="shared" si="48"/>
        <v>3000</v>
      </c>
      <c r="AK233">
        <f>IF('Input data'!$B$26="S",'Input data'!$B$22,3.1415*(('Input data'!$B$20*0.0005)-('Input data'!$B$28*A233))^2)</f>
        <v>7.8539816250000026E-3</v>
      </c>
    </row>
    <row r="234" spans="1:37" x14ac:dyDescent="0.2">
      <c r="A234" s="9">
        <f>A233+'Input data'!$B$24</f>
        <v>22.700000000000053</v>
      </c>
      <c r="B234">
        <f>B233+(J233*'Input data'!$B$24)</f>
        <v>5.6134469673459808</v>
      </c>
      <c r="C234">
        <f>C233+(K233*'Input data'!$B$24)</f>
        <v>0</v>
      </c>
      <c r="D234">
        <f>D233+(L233*'Input data'!$B$24)</f>
        <v>-40.406229456779378</v>
      </c>
      <c r="E234">
        <f>IF('Input data'!$B$13=2,'Input data'!$B$25*((0.1036*LN(ABS(P233+1)))+0.8731),IF('Input data'!$B$13=3,'Input data'!$B$25*((0.139*LN(ABS(P233+1)))+0.7503),'Input data'!$B$25))</f>
        <v>5.6301351032067828</v>
      </c>
      <c r="F234">
        <f>E234*COS(RADIANS('Input data'!$B$10))</f>
        <v>5.6301351032067828</v>
      </c>
      <c r="G234">
        <f>E234*SIN(RADIANS('Input data'!$B$10))</f>
        <v>0</v>
      </c>
      <c r="H234">
        <f>1.22*EXP(-0.0001065*(P233+'Input data'!$B$12))</f>
        <v>1.233325864824522</v>
      </c>
      <c r="I234">
        <f t="shared" si="42"/>
        <v>40.406232902954265</v>
      </c>
      <c r="J234">
        <f>-0.5*H234*I234*AK234*'Input data'!$B$19*(B234-F234)/AF234</f>
        <v>4.0474587371784271E-3</v>
      </c>
      <c r="K234">
        <f>-0.5*H234*I234*AK234*'Input data'!$B$19*(C234-G234)/AF234</f>
        <v>0</v>
      </c>
      <c r="L234">
        <f>(-0.5*H234*AK234*I234*'Input data'!$B$19*D234/AF234)-'Input data'!$B$23</f>
        <v>-5.0710076063165133E-3</v>
      </c>
      <c r="M234">
        <f>IF(AF234&gt;0,IF(P233&lt;=Param_1,M233,M233+(B235*'Input data'!$B$24)),M233)</f>
        <v>94.47854469234332</v>
      </c>
      <c r="N234">
        <f>IF(AF234&gt;0,IF(P233&lt;=Param_1,N233,N233+(C235*'Input data'!$B$24)),N233)</f>
        <v>0</v>
      </c>
      <c r="O234">
        <f t="shared" si="41"/>
        <v>0</v>
      </c>
      <c r="P234">
        <f>IF(P233&lt;=-100000,0,IF(AF234&gt;0,IF(P233&lt;Param_1,P233,P233+(D235*'Input data'!$B$24)),P233))</f>
        <v>-102.005790336941</v>
      </c>
      <c r="Q234">
        <f t="shared" si="43"/>
        <v>94.47854469234332</v>
      </c>
      <c r="T234">
        <f t="shared" si="44"/>
        <v>0</v>
      </c>
      <c r="U234">
        <f t="shared" si="45"/>
        <v>0</v>
      </c>
      <c r="V234" s="74">
        <f>IF(X234=0,'Input data'!$Q$22,Q234)</f>
        <v>80.034601194491032</v>
      </c>
      <c r="W234" s="74">
        <f>IF(U234=0,'Input data'!$Q$23,U234)</f>
        <v>0</v>
      </c>
      <c r="X234" s="74">
        <f t="shared" si="51"/>
        <v>0</v>
      </c>
      <c r="Y234">
        <f>IF(P233&lt;Param_1,Y233,A235*'Input data'!$B$25*SIN(RADIANS('Input data'!$B$10)))</f>
        <v>0</v>
      </c>
      <c r="Z234">
        <f>IF(P233&lt;Param_1,Z233,A235*'Input data'!$B$25*COS(RADIANS('Input data'!$B$10)))</f>
        <v>62.083333333333186</v>
      </c>
      <c r="AA234">
        <f t="shared" si="49"/>
        <v>14.899999999999963</v>
      </c>
      <c r="AB234">
        <f t="shared" si="50"/>
        <v>5.1999999999999975</v>
      </c>
      <c r="AC234">
        <f>IF(ROUND(A234*10,3)='Input data'!$B$14*10,M234,0)</f>
        <v>0</v>
      </c>
      <c r="AD234">
        <f>IF(ROUND(A234*10,3)='Input data'!$B$14*10,N234,0)</f>
        <v>0</v>
      </c>
      <c r="AE234">
        <f>IF(ROUND(A234*10,3)='Input data'!$B$14*10,P234,0)</f>
        <v>0</v>
      </c>
      <c r="AF234">
        <f>IF('Input data'!$B$26="C",IF((3.14159265*1860/4)*((0.001*'Input data'!$B$20)-(2*'Input data'!$B$28*A234))^2*((0.33333*0.001*'Input data'!$B$20)-(2*'Input data'!$B$28*A234))&lt;0,(3.14159265*1860/4)*((0.001*'Input data'!$B$20)-(2*'Input data'!$B$28*A234))^2*((0.33333*0.001*'Input data'!$B$20)-(2*'Input data'!$B$28*A234)),(3.14159265*1860/4)*((0.001*'Input data'!$B$20)-(2*'Input data'!$B$28*A234))^2*((0.33333*0.001*'Input data'!$B$20)-(2*'Input data'!$B$28*A234))),'Input data'!$B$21)</f>
        <v>0.40680208090393727</v>
      </c>
      <c r="AG234">
        <f t="shared" si="46"/>
        <v>0</v>
      </c>
      <c r="AH234">
        <f t="shared" si="47"/>
        <v>0</v>
      </c>
      <c r="AI234">
        <f t="shared" si="52"/>
        <v>0</v>
      </c>
      <c r="AJ234">
        <f t="shared" si="48"/>
        <v>3000</v>
      </c>
      <c r="AK234">
        <f>IF('Input data'!$B$26="S",'Input data'!$B$22,3.1415*(('Input data'!$B$20*0.0005)-('Input data'!$B$28*A234))^2)</f>
        <v>7.8539816250000026E-3</v>
      </c>
    </row>
    <row r="235" spans="1:37" x14ac:dyDescent="0.2">
      <c r="A235" s="9">
        <f>A234+'Input data'!$B$24</f>
        <v>22.800000000000054</v>
      </c>
      <c r="B235">
        <f>B234+(J234*'Input data'!$B$24)</f>
        <v>5.6138517132196988</v>
      </c>
      <c r="C235">
        <f>C234+(K234*'Input data'!$B$24)</f>
        <v>0</v>
      </c>
      <c r="D235">
        <f>D234+(L234*'Input data'!$B$24)</f>
        <v>-40.406736557540007</v>
      </c>
      <c r="E235">
        <f>IF('Input data'!$B$13=2,'Input data'!$B$25*((0.1036*LN(ABS(P234+1)))+0.8731),IF('Input data'!$B$13=3,'Input data'!$B$25*((0.139*LN(ABS(P234+1)))+0.7503),'Input data'!$B$25))</f>
        <v>5.6301351032067828</v>
      </c>
      <c r="F235">
        <f>E235*COS(RADIANS('Input data'!$B$10))</f>
        <v>5.6301351032067828</v>
      </c>
      <c r="G235">
        <f>E235*SIN(RADIANS('Input data'!$B$10))</f>
        <v>0</v>
      </c>
      <c r="H235">
        <f>1.22*EXP(-0.0001065*(P234+'Input data'!$B$12))</f>
        <v>1.233325864824522</v>
      </c>
      <c r="I235">
        <f t="shared" si="42"/>
        <v>40.406739838537206</v>
      </c>
      <c r="J235">
        <f>-0.5*H235*I235*AK235*'Input data'!$B$19*(B235-F235)/AF235</f>
        <v>3.9493432030544015E-3</v>
      </c>
      <c r="K235">
        <f>-0.5*H235*I235*AK235*'Input data'!$B$19*(C235-G235)/AF235</f>
        <v>0</v>
      </c>
      <c r="L235">
        <f>(-0.5*H235*AK235*I235*'Input data'!$B$19*D235/AF235)-'Input data'!$B$23</f>
        <v>-4.8250666655142993E-3</v>
      </c>
      <c r="M235">
        <f>IF(AF235&gt;0,IF(P234&lt;=Param_1,M234,M234+(B236*'Input data'!$B$24)),M234)</f>
        <v>94.47854469234332</v>
      </c>
      <c r="N235">
        <f>IF(AF235&gt;0,IF(P234&lt;=Param_1,N234,N234+(C236*'Input data'!$B$24)),N234)</f>
        <v>0</v>
      </c>
      <c r="O235">
        <f t="shared" si="41"/>
        <v>0</v>
      </c>
      <c r="P235">
        <f>IF(P234&lt;=-100000,0,IF(AF235&gt;0,IF(P234&lt;Param_1,P234,P234+(D236*'Input data'!$B$24)),P234))</f>
        <v>-102.005790336941</v>
      </c>
      <c r="Q235">
        <f t="shared" si="43"/>
        <v>94.47854469234332</v>
      </c>
      <c r="T235">
        <f t="shared" si="44"/>
        <v>0</v>
      </c>
      <c r="U235">
        <f t="shared" si="45"/>
        <v>0</v>
      </c>
      <c r="V235" s="74">
        <f>IF(X235=0,'Input data'!$Q$22,Q235)</f>
        <v>80.034601194491032</v>
      </c>
      <c r="W235" s="74">
        <f>IF(U235=0,'Input data'!$Q$23,U235)</f>
        <v>0</v>
      </c>
      <c r="X235" s="74">
        <f t="shared" si="51"/>
        <v>0</v>
      </c>
      <c r="Y235">
        <f>IF(P234&lt;Param_1,Y234,A236*'Input data'!$B$25*SIN(RADIANS('Input data'!$B$10)))</f>
        <v>0</v>
      </c>
      <c r="Z235">
        <f>IF(P234&lt;Param_1,Z234,A236*'Input data'!$B$25*COS(RADIANS('Input data'!$B$10)))</f>
        <v>62.083333333333186</v>
      </c>
      <c r="AA235">
        <f t="shared" si="49"/>
        <v>14.899999999999963</v>
      </c>
      <c r="AB235">
        <f t="shared" si="50"/>
        <v>5.1999999999999975</v>
      </c>
      <c r="AC235">
        <f>IF(ROUND(A235*10,3)='Input data'!$B$14*10,M235,0)</f>
        <v>0</v>
      </c>
      <c r="AD235">
        <f>IF(ROUND(A235*10,3)='Input data'!$B$14*10,N235,0)</f>
        <v>0</v>
      </c>
      <c r="AE235">
        <f>IF(ROUND(A235*10,3)='Input data'!$B$14*10,P235,0)</f>
        <v>0</v>
      </c>
      <c r="AF235">
        <f>IF('Input data'!$B$26="C",IF((3.14159265*1860/4)*((0.001*'Input data'!$B$20)-(2*'Input data'!$B$28*A235))^2*((0.33333*0.001*'Input data'!$B$20)-(2*'Input data'!$B$28*A235))&lt;0,(3.14159265*1860/4)*((0.001*'Input data'!$B$20)-(2*'Input data'!$B$28*A235))^2*((0.33333*0.001*'Input data'!$B$20)-(2*'Input data'!$B$28*A235)),(3.14159265*1860/4)*((0.001*'Input data'!$B$20)-(2*'Input data'!$B$28*A235))^2*((0.33333*0.001*'Input data'!$B$20)-(2*'Input data'!$B$28*A235))),'Input data'!$B$21)</f>
        <v>0.40680208090393727</v>
      </c>
      <c r="AG235">
        <f t="shared" si="46"/>
        <v>0</v>
      </c>
      <c r="AH235">
        <f t="shared" si="47"/>
        <v>0</v>
      </c>
      <c r="AI235">
        <f t="shared" si="52"/>
        <v>0</v>
      </c>
      <c r="AJ235">
        <f t="shared" si="48"/>
        <v>3000</v>
      </c>
      <c r="AK235">
        <f>IF('Input data'!$B$26="S",'Input data'!$B$22,3.1415*(('Input data'!$B$20*0.0005)-('Input data'!$B$28*A235))^2)</f>
        <v>7.8539816250000026E-3</v>
      </c>
    </row>
  </sheetData>
  <sheetProtection password="DC79" sheet="1" objects="1" scenarios="1"/>
  <phoneticPr fontId="0" type="noConversion"/>
  <pageMargins left="0.75" right="0.75" top="1" bottom="1" header="0.5" footer="0.5"/>
  <pageSetup paperSize="9" orientation="portrait" horizont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/>
  </sheetPr>
  <dimension ref="A1:V45"/>
  <sheetViews>
    <sheetView workbookViewId="0">
      <selection sqref="A1:N1"/>
    </sheetView>
  </sheetViews>
  <sheetFormatPr defaultRowHeight="12.75" x14ac:dyDescent="0.2"/>
  <cols>
    <col min="1" max="1" width="14.85546875" customWidth="1"/>
  </cols>
  <sheetData>
    <row r="1" spans="1:16" ht="15" x14ac:dyDescent="0.25">
      <c r="A1" s="114" t="s">
        <v>173</v>
      </c>
      <c r="B1" s="114" t="s">
        <v>134</v>
      </c>
      <c r="C1" s="114"/>
      <c r="D1" s="114"/>
      <c r="E1" s="115">
        <f>+'Input data'!N10</f>
        <v>36.25021995687959</v>
      </c>
      <c r="F1" s="115">
        <f>+'Input data'!N11</f>
        <v>0</v>
      </c>
      <c r="G1" s="115">
        <f>+'Input data'!N12</f>
        <v>184.14571015115405</v>
      </c>
      <c r="H1" s="116" t="s">
        <v>172</v>
      </c>
      <c r="I1" s="116" t="s">
        <v>158</v>
      </c>
      <c r="J1" s="116"/>
      <c r="K1" s="116"/>
      <c r="L1" s="117">
        <f>+E1</f>
        <v>36.25021995687959</v>
      </c>
      <c r="M1" s="117">
        <f>+F1</f>
        <v>0</v>
      </c>
      <c r="N1" s="117">
        <f>+G1</f>
        <v>184.14571015115405</v>
      </c>
    </row>
    <row r="2" spans="1:16" ht="15" x14ac:dyDescent="0.25">
      <c r="A2" s="69"/>
      <c r="B2" s="69" t="s">
        <v>135</v>
      </c>
      <c r="C2" s="69"/>
      <c r="D2" s="69" t="s">
        <v>137</v>
      </c>
      <c r="E2" s="69" t="s">
        <v>15</v>
      </c>
      <c r="F2" s="69" t="s">
        <v>16</v>
      </c>
      <c r="G2" s="69" t="s">
        <v>17</v>
      </c>
      <c r="H2" s="71"/>
      <c r="I2" s="71" t="s">
        <v>135</v>
      </c>
      <c r="J2" s="71"/>
      <c r="K2" s="71" t="s">
        <v>137</v>
      </c>
      <c r="L2" s="71" t="s">
        <v>15</v>
      </c>
      <c r="M2" s="71" t="s">
        <v>16</v>
      </c>
      <c r="N2" s="71" t="s">
        <v>17</v>
      </c>
    </row>
    <row r="3" spans="1:16" ht="15" x14ac:dyDescent="0.25">
      <c r="A3" s="69">
        <v>0</v>
      </c>
      <c r="B3" s="69">
        <v>0</v>
      </c>
      <c r="C3" s="69"/>
      <c r="D3" s="70">
        <f>+B3*'Input data'!$B$25</f>
        <v>0</v>
      </c>
      <c r="E3" s="70">
        <f>Fallout!$H$18*($E$1+D3)</f>
        <v>36.25021995687959</v>
      </c>
      <c r="F3" s="70">
        <f>Fallout!$H$18*(+$F$1+D3)</f>
        <v>0</v>
      </c>
      <c r="G3" s="70">
        <f>IF(Fallout!$C$18="Yes",Fallout!$H$18*$G$1,0)</f>
        <v>184.14571015115405</v>
      </c>
      <c r="H3" s="71"/>
      <c r="I3" s="75">
        <v>0</v>
      </c>
      <c r="J3" s="75"/>
      <c r="K3" s="75">
        <f>+I3*'Input data'!$B$25</f>
        <v>0</v>
      </c>
      <c r="L3" s="75">
        <f>Fallout!$H$19*($L$1+K3)</f>
        <v>36.25021995687959</v>
      </c>
      <c r="M3" s="75">
        <f>Fallout!$H$19*(+$M$1+K3)</f>
        <v>0</v>
      </c>
      <c r="N3" s="75">
        <f>IF(Fallout!$C$19="Yes",Fallout!$H$19*$N$1,0)</f>
        <v>184.14571015115405</v>
      </c>
      <c r="O3" s="77">
        <v>0</v>
      </c>
      <c r="P3" s="77"/>
    </row>
    <row r="4" spans="1:16" ht="15" x14ac:dyDescent="0.25">
      <c r="A4" s="69">
        <v>1</v>
      </c>
      <c r="B4" s="69"/>
      <c r="C4" s="69"/>
      <c r="D4" s="70">
        <f t="shared" ref="D4:D12" si="0">+$D$3+$D$13*P4</f>
        <v>7.9421457577710433</v>
      </c>
      <c r="E4" s="70">
        <f>+$E$3+$E$15*$P4</f>
        <v>44.192365714650634</v>
      </c>
      <c r="F4" s="70">
        <f t="shared" ref="F4:F12" si="1">+$F$3+$F$15*$P4</f>
        <v>0</v>
      </c>
      <c r="G4" s="70">
        <f t="shared" ref="G4:G12" si="2">+$G$3-$O4*$G$3</f>
        <v>180.46279594813097</v>
      </c>
      <c r="H4" s="71"/>
      <c r="I4" s="75"/>
      <c r="J4" s="75"/>
      <c r="K4" s="75"/>
      <c r="L4" s="75">
        <f t="shared" ref="L4:L12" si="3">+$L$3+$L$15*$P4</f>
        <v>52.134511472421678</v>
      </c>
      <c r="M4" s="75">
        <f t="shared" ref="M4:M12" si="4">+$M$3+$M$15*$P4</f>
        <v>0</v>
      </c>
      <c r="N4" s="75">
        <f>+$N$3-$O4*$N$3</f>
        <v>180.46279594813097</v>
      </c>
      <c r="O4" s="77">
        <v>0.02</v>
      </c>
      <c r="P4" s="77">
        <v>0.1</v>
      </c>
    </row>
    <row r="5" spans="1:16" ht="15" x14ac:dyDescent="0.25">
      <c r="A5" s="69">
        <v>2</v>
      </c>
      <c r="B5" s="69"/>
      <c r="C5" s="69"/>
      <c r="D5" s="70">
        <f t="shared" si="0"/>
        <v>15.884291515542087</v>
      </c>
      <c r="E5" s="70">
        <f t="shared" ref="E5:E12" si="5">+$E$3+$E$15*$P5</f>
        <v>52.134511472421678</v>
      </c>
      <c r="F5" s="70">
        <f t="shared" si="1"/>
        <v>0</v>
      </c>
      <c r="G5" s="70">
        <f t="shared" si="2"/>
        <v>178.62133884661944</v>
      </c>
      <c r="H5" s="71"/>
      <c r="I5" s="75"/>
      <c r="J5" s="75"/>
      <c r="K5" s="75"/>
      <c r="L5" s="75">
        <f t="shared" si="3"/>
        <v>68.018802987963767</v>
      </c>
      <c r="M5" s="75">
        <f t="shared" si="4"/>
        <v>0</v>
      </c>
      <c r="N5" s="75">
        <f t="shared" ref="N5:N12" si="6">+$N$3-$O5*$N$3</f>
        <v>178.62133884661944</v>
      </c>
      <c r="O5" s="77">
        <v>0.03</v>
      </c>
      <c r="P5" s="77">
        <v>0.2</v>
      </c>
    </row>
    <row r="6" spans="1:16" ht="15" x14ac:dyDescent="0.25">
      <c r="A6" s="69">
        <v>3</v>
      </c>
      <c r="B6" s="69"/>
      <c r="C6" s="69"/>
      <c r="D6" s="70">
        <f t="shared" si="0"/>
        <v>23.826437273313129</v>
      </c>
      <c r="E6" s="70">
        <f t="shared" si="5"/>
        <v>60.076657230192723</v>
      </c>
      <c r="F6" s="70">
        <f t="shared" si="1"/>
        <v>0</v>
      </c>
      <c r="G6" s="70">
        <f t="shared" si="2"/>
        <v>174.93842464359633</v>
      </c>
      <c r="H6" s="71"/>
      <c r="I6" s="75"/>
      <c r="J6" s="75"/>
      <c r="K6" s="75"/>
      <c r="L6" s="75">
        <f t="shared" si="3"/>
        <v>83.903094503505855</v>
      </c>
      <c r="M6" s="75">
        <f t="shared" si="4"/>
        <v>0</v>
      </c>
      <c r="N6" s="75">
        <f t="shared" si="6"/>
        <v>174.93842464359633</v>
      </c>
      <c r="O6" s="77">
        <v>0.05</v>
      </c>
      <c r="P6" s="77">
        <v>0.3</v>
      </c>
    </row>
    <row r="7" spans="1:16" ht="15" x14ac:dyDescent="0.25">
      <c r="A7" s="69">
        <v>4</v>
      </c>
      <c r="B7" s="69"/>
      <c r="C7" s="69"/>
      <c r="D7" s="70">
        <f t="shared" si="0"/>
        <v>31.768583031084173</v>
      </c>
      <c r="E7" s="70">
        <f t="shared" si="5"/>
        <v>68.018802987963767</v>
      </c>
      <c r="F7" s="70">
        <f t="shared" si="1"/>
        <v>0</v>
      </c>
      <c r="G7" s="70">
        <f t="shared" si="2"/>
        <v>165.73113913603865</v>
      </c>
      <c r="H7" s="71"/>
      <c r="I7" s="75"/>
      <c r="J7" s="75"/>
      <c r="K7" s="75"/>
      <c r="L7" s="75">
        <f t="shared" si="3"/>
        <v>99.787386019047943</v>
      </c>
      <c r="M7" s="75">
        <f t="shared" si="4"/>
        <v>0</v>
      </c>
      <c r="N7" s="75">
        <f t="shared" si="6"/>
        <v>165.73113913603865</v>
      </c>
      <c r="O7" s="77">
        <v>0.1</v>
      </c>
      <c r="P7" s="77">
        <v>0.4</v>
      </c>
    </row>
    <row r="8" spans="1:16" ht="15" x14ac:dyDescent="0.25">
      <c r="A8" s="69">
        <v>5</v>
      </c>
      <c r="B8" s="69"/>
      <c r="C8" s="69"/>
      <c r="D8" s="70">
        <f t="shared" si="0"/>
        <v>39.710728788855214</v>
      </c>
      <c r="E8" s="70">
        <f t="shared" si="5"/>
        <v>75.960948745734811</v>
      </c>
      <c r="F8" s="70">
        <f t="shared" si="1"/>
        <v>0</v>
      </c>
      <c r="G8" s="70">
        <f t="shared" si="2"/>
        <v>138.10928261336554</v>
      </c>
      <c r="H8" s="71"/>
      <c r="I8" s="75"/>
      <c r="J8" s="75"/>
      <c r="K8" s="75"/>
      <c r="L8" s="75">
        <f t="shared" si="3"/>
        <v>115.67167753459002</v>
      </c>
      <c r="M8" s="75">
        <f t="shared" si="4"/>
        <v>0</v>
      </c>
      <c r="N8" s="75">
        <f t="shared" si="6"/>
        <v>138.10928261336554</v>
      </c>
      <c r="O8" s="77">
        <v>0.25</v>
      </c>
      <c r="P8" s="77">
        <v>0.5</v>
      </c>
    </row>
    <row r="9" spans="1:16" ht="15" x14ac:dyDescent="0.25">
      <c r="A9" s="69">
        <v>6</v>
      </c>
      <c r="B9" s="69"/>
      <c r="C9" s="69"/>
      <c r="D9" s="70">
        <f t="shared" si="0"/>
        <v>47.652874546626258</v>
      </c>
      <c r="E9" s="70">
        <f t="shared" si="5"/>
        <v>83.903094503505855</v>
      </c>
      <c r="F9" s="70">
        <f t="shared" si="1"/>
        <v>0</v>
      </c>
      <c r="G9" s="70">
        <f t="shared" si="2"/>
        <v>110.48742609069242</v>
      </c>
      <c r="H9" s="71"/>
      <c r="I9" s="75"/>
      <c r="J9" s="75"/>
      <c r="K9" s="75"/>
      <c r="L9" s="75">
        <f t="shared" si="3"/>
        <v>131.55596905013209</v>
      </c>
      <c r="M9" s="75">
        <f t="shared" si="4"/>
        <v>0</v>
      </c>
      <c r="N9" s="75">
        <f t="shared" si="6"/>
        <v>110.48742609069242</v>
      </c>
      <c r="O9" s="77">
        <v>0.4</v>
      </c>
      <c r="P9" s="77">
        <v>0.6</v>
      </c>
    </row>
    <row r="10" spans="1:16" ht="15" x14ac:dyDescent="0.25">
      <c r="A10" s="69">
        <v>7</v>
      </c>
      <c r="B10" s="69"/>
      <c r="C10" s="69"/>
      <c r="D10" s="70">
        <f t="shared" si="0"/>
        <v>55.595020304397295</v>
      </c>
      <c r="E10" s="70">
        <f t="shared" si="5"/>
        <v>91.845240261276885</v>
      </c>
      <c r="F10" s="70">
        <f t="shared" si="1"/>
        <v>0</v>
      </c>
      <c r="G10" s="70">
        <f t="shared" si="2"/>
        <v>82.865569568019311</v>
      </c>
      <c r="H10" s="71"/>
      <c r="I10" s="75"/>
      <c r="J10" s="75"/>
      <c r="K10" s="75"/>
      <c r="L10" s="75">
        <f t="shared" si="3"/>
        <v>147.44026056567418</v>
      </c>
      <c r="M10" s="75">
        <f t="shared" si="4"/>
        <v>0</v>
      </c>
      <c r="N10" s="75">
        <f t="shared" si="6"/>
        <v>82.865569568019311</v>
      </c>
      <c r="O10" s="77">
        <v>0.55000000000000004</v>
      </c>
      <c r="P10" s="77">
        <v>0.7</v>
      </c>
    </row>
    <row r="11" spans="1:16" ht="15" x14ac:dyDescent="0.25">
      <c r="A11" s="69">
        <v>8</v>
      </c>
      <c r="B11" s="69"/>
      <c r="C11" s="69"/>
      <c r="D11" s="70">
        <f t="shared" si="0"/>
        <v>63.537166062168346</v>
      </c>
      <c r="E11" s="70">
        <f t="shared" si="5"/>
        <v>99.787386019047943</v>
      </c>
      <c r="F11" s="70">
        <f t="shared" si="1"/>
        <v>0</v>
      </c>
      <c r="G11" s="70">
        <f t="shared" si="2"/>
        <v>55.243713045346226</v>
      </c>
      <c r="H11" s="71"/>
      <c r="I11" s="75"/>
      <c r="J11" s="75"/>
      <c r="K11" s="75"/>
      <c r="L11" s="75">
        <f t="shared" si="3"/>
        <v>163.32455208121627</v>
      </c>
      <c r="M11" s="75">
        <f t="shared" si="4"/>
        <v>0</v>
      </c>
      <c r="N11" s="75">
        <f t="shared" si="6"/>
        <v>55.243713045346226</v>
      </c>
      <c r="O11" s="77">
        <v>0.7</v>
      </c>
      <c r="P11" s="77">
        <v>0.8</v>
      </c>
    </row>
    <row r="12" spans="1:16" ht="15" x14ac:dyDescent="0.25">
      <c r="A12" s="69">
        <v>9</v>
      </c>
      <c r="B12" s="69"/>
      <c r="C12" s="69"/>
      <c r="D12" s="70">
        <f t="shared" si="0"/>
        <v>71.479311819939383</v>
      </c>
      <c r="E12" s="70">
        <f t="shared" si="5"/>
        <v>107.72953177681897</v>
      </c>
      <c r="F12" s="70">
        <f t="shared" si="1"/>
        <v>0</v>
      </c>
      <c r="G12" s="70">
        <f t="shared" si="2"/>
        <v>27.621856522673113</v>
      </c>
      <c r="H12" s="71"/>
      <c r="I12" s="75"/>
      <c r="J12" s="75"/>
      <c r="K12" s="75"/>
      <c r="L12" s="75">
        <f t="shared" si="3"/>
        <v>179.20884359675836</v>
      </c>
      <c r="M12" s="75">
        <f t="shared" si="4"/>
        <v>0</v>
      </c>
      <c r="N12" s="75">
        <f t="shared" si="6"/>
        <v>27.621856522673113</v>
      </c>
      <c r="O12" s="77">
        <v>0.85</v>
      </c>
      <c r="P12" s="77">
        <v>0.9</v>
      </c>
    </row>
    <row r="13" spans="1:16" ht="15" x14ac:dyDescent="0.25">
      <c r="A13" s="69">
        <v>10</v>
      </c>
      <c r="B13" s="69">
        <f>IF(Fallout!$E$18=1,IF(Fallout!$C$18="Yes",+Fallout!Q28,0),0)</f>
        <v>19.061149818650502</v>
      </c>
      <c r="C13" s="69"/>
      <c r="D13" s="70">
        <f>+B13*'Input data'!$B$25*Fallout!Q34</f>
        <v>79.421457577710427</v>
      </c>
      <c r="E13" s="70">
        <f>Fallout!$H$18*($E$1+Fallout!$V$35*D13)+(B25/B26)</f>
        <v>115.67167753459002</v>
      </c>
      <c r="F13" s="70">
        <f>Fallout!$H$18*($F$1+D13*Fallout!$T$35)</f>
        <v>0</v>
      </c>
      <c r="G13" s="70">
        <v>0</v>
      </c>
      <c r="H13" s="71"/>
      <c r="I13" s="75">
        <f>IF(Fallout!$E$18=1,IF(Fallout!$C$19="Yes",+B32*Fallout!Q28,0),0)</f>
        <v>38.122299637301005</v>
      </c>
      <c r="J13" s="75"/>
      <c r="K13" s="75">
        <f>+I13*'Input data'!$B$25*Fallout!Q34</f>
        <v>158.84291515542085</v>
      </c>
      <c r="L13" s="75">
        <f>Fallout!$H$18*($E$1+Fallout!$V$35*K13)+(B27*B25)</f>
        <v>195.09313511230044</v>
      </c>
      <c r="M13" s="75">
        <f>Fallout!$H$18*($F$1+K13*Fallout!$T$35)</f>
        <v>0</v>
      </c>
      <c r="N13" s="75">
        <v>0</v>
      </c>
      <c r="O13" s="77">
        <v>1</v>
      </c>
      <c r="P13" s="77">
        <v>1</v>
      </c>
    </row>
    <row r="14" spans="1:16" x14ac:dyDescent="0.2">
      <c r="E14" s="9"/>
      <c r="G14" s="9"/>
    </row>
    <row r="15" spans="1:16" x14ac:dyDescent="0.2">
      <c r="D15">
        <f>+D13</f>
        <v>79.421457577710427</v>
      </c>
      <c r="E15" s="9">
        <f>+E13-E3</f>
        <v>79.421457577710427</v>
      </c>
      <c r="F15" s="9">
        <f>+F13-F3</f>
        <v>0</v>
      </c>
      <c r="G15" s="9">
        <f>+G3</f>
        <v>184.14571015115405</v>
      </c>
      <c r="L15" s="9">
        <f>+L13-L3</f>
        <v>158.84291515542085</v>
      </c>
      <c r="M15" s="9">
        <f>+M13-M3</f>
        <v>0</v>
      </c>
      <c r="N15" s="9">
        <f>+N3</f>
        <v>184.14571015115405</v>
      </c>
    </row>
    <row r="18" spans="1:22" x14ac:dyDescent="0.2">
      <c r="A18" s="5" t="s">
        <v>180</v>
      </c>
      <c r="C18" t="str">
        <f>+'ShellCalc© Program'!C23</f>
        <v>Yes</v>
      </c>
      <c r="D18" s="5">
        <f>IF(C18="Yes",1,0)</f>
        <v>1</v>
      </c>
      <c r="E18">
        <f>+B23*B21</f>
        <v>1</v>
      </c>
      <c r="F18">
        <f>+D18*E18</f>
        <v>1</v>
      </c>
      <c r="H18">
        <f>IF(E18=1,1,0)</f>
        <v>1</v>
      </c>
    </row>
    <row r="19" spans="1:22" x14ac:dyDescent="0.2">
      <c r="A19" s="5" t="s">
        <v>181</v>
      </c>
      <c r="C19" t="str">
        <f>+'ShellCalc© Program'!C24</f>
        <v>Yes</v>
      </c>
      <c r="D19" s="5">
        <f>IF(C19="Yes",1,0)</f>
        <v>1</v>
      </c>
      <c r="E19">
        <f>+B21*B23</f>
        <v>1</v>
      </c>
      <c r="H19">
        <f>IF(E19=1,1,0)</f>
        <v>1</v>
      </c>
    </row>
    <row r="21" spans="1:22" x14ac:dyDescent="0.2">
      <c r="A21" s="5" t="s">
        <v>182</v>
      </c>
      <c r="B21">
        <f>IF('Input data'!B26="S",1,0)</f>
        <v>1</v>
      </c>
    </row>
    <row r="22" spans="1:22" x14ac:dyDescent="0.2">
      <c r="A22" s="5" t="s">
        <v>170</v>
      </c>
      <c r="B22">
        <f>IF('Input data'!N6&lt;'Input data'!B14,1,0)</f>
        <v>0</v>
      </c>
    </row>
    <row r="23" spans="1:22" x14ac:dyDescent="0.2">
      <c r="A23" s="5" t="s">
        <v>171</v>
      </c>
      <c r="B23">
        <f>1-Fallout!B22</f>
        <v>1</v>
      </c>
    </row>
    <row r="24" spans="1:22" ht="15" x14ac:dyDescent="0.25">
      <c r="P24" s="71" t="s">
        <v>138</v>
      </c>
      <c r="Q24" s="71">
        <f>110/3</f>
        <v>36.666666666666664</v>
      </c>
    </row>
    <row r="25" spans="1:22" ht="15" x14ac:dyDescent="0.25">
      <c r="A25" s="5" t="s">
        <v>200</v>
      </c>
      <c r="B25">
        <f>('Input data'!N16-'Input data'!B20)/2</f>
        <v>0</v>
      </c>
      <c r="P25" s="71" t="s">
        <v>157</v>
      </c>
      <c r="Q25" s="71">
        <f>+'Input data'!N12/Q24</f>
        <v>5.0221557313951104</v>
      </c>
    </row>
    <row r="26" spans="1:22" ht="15" x14ac:dyDescent="0.25">
      <c r="A26" s="5" t="s">
        <v>201</v>
      </c>
      <c r="B26" s="77">
        <v>1.5</v>
      </c>
      <c r="P26" s="71"/>
      <c r="Q26" s="71">
        <v>2.76</v>
      </c>
    </row>
    <row r="27" spans="1:22" ht="15" x14ac:dyDescent="0.25">
      <c r="A27" s="5" t="s">
        <v>202</v>
      </c>
      <c r="B27" s="77">
        <v>1.8</v>
      </c>
      <c r="P27" s="71"/>
      <c r="Q27" s="71">
        <f>+'ShellCalc© Program'!C41</f>
        <v>5.2</v>
      </c>
    </row>
    <row r="28" spans="1:22" ht="15" x14ac:dyDescent="0.25">
      <c r="P28" s="71"/>
      <c r="Q28" s="71">
        <f>+Q25*Q26+Q27</f>
        <v>19.061149818650502</v>
      </c>
    </row>
    <row r="29" spans="1:22" x14ac:dyDescent="0.2">
      <c r="V29" s="9"/>
    </row>
    <row r="30" spans="1:22" x14ac:dyDescent="0.2">
      <c r="V30" s="9"/>
    </row>
    <row r="31" spans="1:22" x14ac:dyDescent="0.2">
      <c r="P31" s="5" t="s">
        <v>152</v>
      </c>
      <c r="Q31">
        <f>SQRT(Fallout!E13*Fallout!E13+Fallout!F13*Fallout!F13)</f>
        <v>115.67167753459002</v>
      </c>
      <c r="R31" s="5" t="s">
        <v>153</v>
      </c>
      <c r="S31" s="5" t="s">
        <v>160</v>
      </c>
      <c r="V31" s="9"/>
    </row>
    <row r="32" spans="1:22" ht="15" x14ac:dyDescent="0.25">
      <c r="A32" s="5" t="s">
        <v>183</v>
      </c>
      <c r="B32" s="77">
        <v>2</v>
      </c>
      <c r="Q32">
        <f>SQRT(Fallout!L13*Fallout!L13+Fallout!M13*Fallout!M13)</f>
        <v>195.09313511230044</v>
      </c>
      <c r="S32" s="5" t="s">
        <v>161</v>
      </c>
      <c r="V32" s="9"/>
    </row>
    <row r="33" spans="1:22" x14ac:dyDescent="0.2">
      <c r="V33" s="9"/>
    </row>
    <row r="34" spans="1:22" ht="15" x14ac:dyDescent="0.25">
      <c r="P34" s="72" t="s">
        <v>145</v>
      </c>
      <c r="Q34" s="72">
        <v>1</v>
      </c>
    </row>
    <row r="35" spans="1:22" x14ac:dyDescent="0.2">
      <c r="A35" s="5"/>
      <c r="B35" s="5" t="s">
        <v>15</v>
      </c>
      <c r="C35" s="5" t="s">
        <v>16</v>
      </c>
      <c r="P35" s="5" t="s">
        <v>151</v>
      </c>
      <c r="Q35">
        <f>+'Input data'!B10*(2*PI())/360</f>
        <v>0</v>
      </c>
      <c r="S35" s="5" t="s">
        <v>149</v>
      </c>
      <c r="T35">
        <f>+SIN(Q35)</f>
        <v>0</v>
      </c>
      <c r="U35" s="5" t="s">
        <v>150</v>
      </c>
      <c r="V35">
        <f>COS(Q35)</f>
        <v>1</v>
      </c>
    </row>
    <row r="36" spans="1:22" x14ac:dyDescent="0.2">
      <c r="A36" s="5" t="s">
        <v>184</v>
      </c>
      <c r="B36">
        <f>MIN('Burst Calculations'!D5:D25)</f>
        <v>-13.74978004312041</v>
      </c>
      <c r="C36">
        <v>-5</v>
      </c>
      <c r="F36" s="5" t="s">
        <v>188</v>
      </c>
      <c r="V36" s="9"/>
    </row>
    <row r="37" spans="1:22" x14ac:dyDescent="0.2">
      <c r="A37" s="5" t="s">
        <v>187</v>
      </c>
      <c r="B37" s="9">
        <f>1.05*Fallout!B45</f>
        <v>204.84779186791548</v>
      </c>
      <c r="C37">
        <f>+C36</f>
        <v>-5</v>
      </c>
      <c r="P37" s="5" t="s">
        <v>29</v>
      </c>
      <c r="R37">
        <f>+Calculations!Y6</f>
        <v>0</v>
      </c>
      <c r="S37">
        <f>+Calculations!Z6</f>
        <v>0</v>
      </c>
      <c r="V37" s="9"/>
    </row>
    <row r="38" spans="1:22" x14ac:dyDescent="0.2">
      <c r="P38" s="5"/>
      <c r="R38">
        <f>+Calculations!Y235</f>
        <v>0</v>
      </c>
      <c r="S38">
        <f>+Calculations!Z235</f>
        <v>62.083333333333186</v>
      </c>
    </row>
    <row r="40" spans="1:22" x14ac:dyDescent="0.2">
      <c r="A40" s="5" t="s">
        <v>185</v>
      </c>
      <c r="B40">
        <f>+'Input data'!Q22</f>
        <v>80.034601194491032</v>
      </c>
    </row>
    <row r="41" spans="1:22" x14ac:dyDescent="0.2">
      <c r="B41" s="9">
        <f>+L13</f>
        <v>195.09313511230044</v>
      </c>
    </row>
    <row r="42" spans="1:22" x14ac:dyDescent="0.2">
      <c r="B42">
        <f>+D13*1.5</f>
        <v>119.13218636656563</v>
      </c>
    </row>
    <row r="45" spans="1:22" x14ac:dyDescent="0.2">
      <c r="A45" s="5" t="s">
        <v>186</v>
      </c>
      <c r="B45">
        <f>MAX(B40:B42)</f>
        <v>195.09313511230044</v>
      </c>
    </row>
  </sheetData>
  <sheetProtection password="DC79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</sheetPr>
  <dimension ref="A1"/>
  <sheetViews>
    <sheetView workbookViewId="0">
      <selection activeCell="J43" sqref="J43"/>
    </sheetView>
  </sheetViews>
  <sheetFormatPr defaultRowHeight="12.75" x14ac:dyDescent="0.2"/>
  <sheetData/>
  <sheetProtection password="DC79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5:I42"/>
  <sheetViews>
    <sheetView workbookViewId="0">
      <selection activeCell="I5" sqref="I5:I19"/>
    </sheetView>
  </sheetViews>
  <sheetFormatPr defaultRowHeight="12.75" x14ac:dyDescent="0.2"/>
  <sheetData>
    <row r="5" spans="1:8" ht="15" x14ac:dyDescent="0.25">
      <c r="G5" s="5" t="s">
        <v>203</v>
      </c>
      <c r="H5" s="71">
        <v>3</v>
      </c>
    </row>
    <row r="6" spans="1:8" ht="15" x14ac:dyDescent="0.25">
      <c r="A6" s="5" t="s">
        <v>139</v>
      </c>
      <c r="B6" s="72" t="s">
        <v>140</v>
      </c>
      <c r="H6" s="71">
        <v>4</v>
      </c>
    </row>
    <row r="7" spans="1:8" ht="15" x14ac:dyDescent="0.25">
      <c r="B7" s="72" t="s">
        <v>141</v>
      </c>
      <c r="H7" s="71">
        <v>5</v>
      </c>
    </row>
    <row r="8" spans="1:8" ht="15" x14ac:dyDescent="0.25">
      <c r="H8" s="71">
        <v>6</v>
      </c>
    </row>
    <row r="9" spans="1:8" ht="15" x14ac:dyDescent="0.25">
      <c r="H9" s="71">
        <v>7</v>
      </c>
    </row>
    <row r="10" spans="1:8" ht="15" x14ac:dyDescent="0.25">
      <c r="H10" s="71">
        <v>8</v>
      </c>
    </row>
    <row r="11" spans="1:8" ht="15" x14ac:dyDescent="0.25">
      <c r="H11" s="71">
        <v>9</v>
      </c>
    </row>
    <row r="12" spans="1:8" ht="15" x14ac:dyDescent="0.25">
      <c r="B12" t="s">
        <v>92</v>
      </c>
      <c r="H12" s="71"/>
    </row>
    <row r="13" spans="1:8" ht="15" x14ac:dyDescent="0.25">
      <c r="A13" t="s">
        <v>41</v>
      </c>
      <c r="B13" s="72">
        <v>0</v>
      </c>
      <c r="H13" s="71"/>
    </row>
    <row r="14" spans="1:8" ht="15" x14ac:dyDescent="0.25">
      <c r="A14" t="s">
        <v>102</v>
      </c>
      <c r="B14" s="72">
        <v>2</v>
      </c>
      <c r="H14" s="71"/>
    </row>
    <row r="15" spans="1:8" ht="15" x14ac:dyDescent="0.25">
      <c r="A15" t="s">
        <v>91</v>
      </c>
      <c r="B15" s="72">
        <v>4</v>
      </c>
      <c r="H15" s="71"/>
    </row>
    <row r="16" spans="1:8" ht="15" x14ac:dyDescent="0.25">
      <c r="A16" t="s">
        <v>101</v>
      </c>
      <c r="B16" s="72">
        <v>6</v>
      </c>
      <c r="H16" s="71"/>
    </row>
    <row r="17" spans="1:9" ht="15" x14ac:dyDescent="0.25">
      <c r="A17" t="s">
        <v>103</v>
      </c>
      <c r="B17" s="72">
        <v>8</v>
      </c>
      <c r="H17" s="71"/>
    </row>
    <row r="18" spans="1:9" ht="15" x14ac:dyDescent="0.25">
      <c r="H18" s="71"/>
    </row>
    <row r="19" spans="1:9" ht="15" x14ac:dyDescent="0.25">
      <c r="H19" s="71"/>
    </row>
    <row r="20" spans="1:9" ht="15" x14ac:dyDescent="0.25">
      <c r="H20" s="71"/>
      <c r="I20" s="71"/>
    </row>
    <row r="21" spans="1:9" ht="15" x14ac:dyDescent="0.25">
      <c r="H21" s="71"/>
      <c r="I21" s="71"/>
    </row>
    <row r="22" spans="1:9" ht="15" x14ac:dyDescent="0.25">
      <c r="A22" t="s">
        <v>40</v>
      </c>
      <c r="B22" s="72">
        <v>2</v>
      </c>
      <c r="H22" s="71"/>
      <c r="I22" s="71"/>
    </row>
    <row r="23" spans="1:9" ht="15" x14ac:dyDescent="0.25">
      <c r="B23" s="72">
        <v>3</v>
      </c>
      <c r="H23" s="71"/>
      <c r="I23" s="71"/>
    </row>
    <row r="24" spans="1:9" ht="15" x14ac:dyDescent="0.25">
      <c r="B24" s="72" t="s">
        <v>41</v>
      </c>
      <c r="H24" s="71"/>
      <c r="I24" s="71"/>
    </row>
    <row r="25" spans="1:9" ht="15" x14ac:dyDescent="0.25">
      <c r="H25" s="71"/>
      <c r="I25" s="71"/>
    </row>
    <row r="26" spans="1:9" ht="15" x14ac:dyDescent="0.25">
      <c r="H26" s="71"/>
      <c r="I26" s="71"/>
    </row>
    <row r="27" spans="1:9" ht="15" x14ac:dyDescent="0.25">
      <c r="H27" s="71"/>
      <c r="I27" s="71"/>
    </row>
    <row r="28" spans="1:9" ht="15" x14ac:dyDescent="0.25">
      <c r="B28" s="72" t="s">
        <v>90</v>
      </c>
      <c r="H28" s="71"/>
      <c r="I28" s="71"/>
    </row>
    <row r="29" spans="1:9" ht="15" x14ac:dyDescent="0.25">
      <c r="B29" s="72" t="s">
        <v>41</v>
      </c>
      <c r="H29" s="71"/>
      <c r="I29" s="71"/>
    </row>
    <row r="30" spans="1:9" ht="15" x14ac:dyDescent="0.25">
      <c r="B30" s="72" t="s">
        <v>102</v>
      </c>
    </row>
    <row r="31" spans="1:9" ht="15" x14ac:dyDescent="0.25">
      <c r="B31" s="72" t="s">
        <v>91</v>
      </c>
    </row>
    <row r="32" spans="1:9" ht="15" x14ac:dyDescent="0.25">
      <c r="B32" s="72" t="s">
        <v>101</v>
      </c>
    </row>
    <row r="33" spans="2:2" ht="15" x14ac:dyDescent="0.25">
      <c r="B33" s="72" t="s">
        <v>103</v>
      </c>
    </row>
    <row r="36" spans="2:2" ht="15" x14ac:dyDescent="0.25">
      <c r="B36" s="72" t="s">
        <v>96</v>
      </c>
    </row>
    <row r="37" spans="2:2" ht="15" x14ac:dyDescent="0.25">
      <c r="B37" s="72" t="s">
        <v>97</v>
      </c>
    </row>
    <row r="41" spans="2:2" ht="15" x14ac:dyDescent="0.25">
      <c r="B41" s="72" t="s">
        <v>199</v>
      </c>
    </row>
    <row r="42" spans="2:2" ht="15" x14ac:dyDescent="0.25">
      <c r="B42" s="72" t="s">
        <v>98</v>
      </c>
    </row>
  </sheetData>
  <sheetProtection password="DC79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/>
  </sheetPr>
  <dimension ref="A4:I24"/>
  <sheetViews>
    <sheetView workbookViewId="0">
      <selection activeCell="M19" sqref="M19:M20"/>
    </sheetView>
  </sheetViews>
  <sheetFormatPr defaultRowHeight="12.75" x14ac:dyDescent="0.2"/>
  <sheetData>
    <row r="4" spans="1:9" x14ac:dyDescent="0.2">
      <c r="B4" s="5" t="s">
        <v>116</v>
      </c>
    </row>
    <row r="5" spans="1:9" x14ac:dyDescent="0.2">
      <c r="A5" t="s">
        <v>21</v>
      </c>
      <c r="B5" t="s">
        <v>21</v>
      </c>
      <c r="C5" t="s">
        <v>4</v>
      </c>
      <c r="D5" t="s">
        <v>22</v>
      </c>
      <c r="E5" t="s">
        <v>2</v>
      </c>
      <c r="F5" t="s">
        <v>27</v>
      </c>
      <c r="G5" t="s">
        <v>93</v>
      </c>
      <c r="H5" s="5" t="s">
        <v>128</v>
      </c>
      <c r="I5" s="5" t="s">
        <v>189</v>
      </c>
    </row>
    <row r="6" spans="1:9" x14ac:dyDescent="0.2">
      <c r="A6" t="s">
        <v>57</v>
      </c>
      <c r="B6">
        <v>13</v>
      </c>
      <c r="C6">
        <f t="shared" ref="C6:C20" si="0">205.25*((B6/1000)^2.7029)</f>
        <v>1.6385536009304493E-3</v>
      </c>
      <c r="E6">
        <f t="shared" ref="E6:E20" si="1">(-0.0921*(LN(B6)))+0.9283</f>
        <v>0.69206816417779249</v>
      </c>
      <c r="F6">
        <f t="shared" ref="F6:F20" si="2">B6^0.2</f>
        <v>1.6702776523348104</v>
      </c>
      <c r="G6">
        <v>2.2999999999999998</v>
      </c>
      <c r="H6">
        <v>90</v>
      </c>
      <c r="I6">
        <f>+B6</f>
        <v>13</v>
      </c>
    </row>
    <row r="7" spans="1:9" x14ac:dyDescent="0.2">
      <c r="A7" t="s">
        <v>62</v>
      </c>
      <c r="B7">
        <v>25</v>
      </c>
      <c r="C7">
        <f t="shared" si="0"/>
        <v>9.5956680399203412E-3</v>
      </c>
      <c r="E7">
        <f t="shared" si="1"/>
        <v>0.63184153652963881</v>
      </c>
      <c r="F7">
        <f t="shared" si="2"/>
        <v>1.9036539387158786</v>
      </c>
      <c r="G7">
        <v>3.1</v>
      </c>
      <c r="H7">
        <v>90</v>
      </c>
      <c r="I7">
        <f t="shared" ref="I7:I20" si="3">+B7</f>
        <v>25</v>
      </c>
    </row>
    <row r="8" spans="1:9" x14ac:dyDescent="0.2">
      <c r="A8" s="25" t="s">
        <v>112</v>
      </c>
      <c r="B8" s="24">
        <v>30</v>
      </c>
      <c r="C8">
        <f t="shared" si="0"/>
        <v>1.570703477200033E-2</v>
      </c>
      <c r="D8" s="24"/>
      <c r="E8">
        <f t="shared" si="1"/>
        <v>0.61504972114891543</v>
      </c>
      <c r="F8">
        <f t="shared" si="2"/>
        <v>1.97435048583482</v>
      </c>
      <c r="G8" s="24">
        <v>3.3</v>
      </c>
      <c r="H8">
        <v>90</v>
      </c>
      <c r="I8">
        <f t="shared" si="3"/>
        <v>30</v>
      </c>
    </row>
    <row r="9" spans="1:9" x14ac:dyDescent="0.2">
      <c r="A9" t="s">
        <v>64</v>
      </c>
      <c r="B9">
        <v>38</v>
      </c>
      <c r="C9">
        <f t="shared" si="0"/>
        <v>2.9756390477136296E-2</v>
      </c>
      <c r="E9">
        <f t="shared" si="1"/>
        <v>0.59327831468919989</v>
      </c>
      <c r="F9">
        <f t="shared" si="2"/>
        <v>2.0699350540816139</v>
      </c>
      <c r="G9">
        <v>3.6</v>
      </c>
      <c r="H9">
        <v>90</v>
      </c>
      <c r="I9">
        <f t="shared" si="3"/>
        <v>38</v>
      </c>
    </row>
    <row r="10" spans="1:9" x14ac:dyDescent="0.2">
      <c r="A10" s="25" t="s">
        <v>113</v>
      </c>
      <c r="B10" s="24">
        <v>45</v>
      </c>
      <c r="C10">
        <f t="shared" si="0"/>
        <v>4.6994958375691114E-2</v>
      </c>
      <c r="D10" s="24"/>
      <c r="E10">
        <f t="shared" si="1"/>
        <v>0.57770638469215352</v>
      </c>
      <c r="F10">
        <f t="shared" si="2"/>
        <v>2.1411273683383238</v>
      </c>
      <c r="G10" s="24">
        <v>3.8</v>
      </c>
      <c r="H10">
        <v>90</v>
      </c>
      <c r="I10">
        <f t="shared" si="3"/>
        <v>45</v>
      </c>
    </row>
    <row r="11" spans="1:9" x14ac:dyDescent="0.2">
      <c r="A11" t="s">
        <v>65</v>
      </c>
      <c r="B11">
        <v>50</v>
      </c>
      <c r="C11">
        <f t="shared" si="0"/>
        <v>6.2478298042624308E-2</v>
      </c>
      <c r="D11" s="24">
        <v>3.2000000000000001E-2</v>
      </c>
      <c r="E11">
        <f t="shared" si="1"/>
        <v>0.5680026812000678</v>
      </c>
      <c r="F11">
        <f t="shared" si="2"/>
        <v>2.1867241478865562</v>
      </c>
      <c r="G11">
        <v>4</v>
      </c>
      <c r="H11">
        <v>93</v>
      </c>
      <c r="I11">
        <f t="shared" si="3"/>
        <v>50</v>
      </c>
    </row>
    <row r="12" spans="1:9" x14ac:dyDescent="0.2">
      <c r="A12" t="s">
        <v>66</v>
      </c>
      <c r="B12">
        <v>63</v>
      </c>
      <c r="C12">
        <f t="shared" si="0"/>
        <v>0.11668653317987436</v>
      </c>
      <c r="D12">
        <v>3.2000000000000001E-2</v>
      </c>
      <c r="E12">
        <f t="shared" si="1"/>
        <v>0.54671729169933991</v>
      </c>
      <c r="F12">
        <f t="shared" si="2"/>
        <v>2.2901720489235826</v>
      </c>
      <c r="G12">
        <v>4.4000000000000004</v>
      </c>
      <c r="H12">
        <v>100</v>
      </c>
      <c r="I12">
        <f t="shared" si="3"/>
        <v>63</v>
      </c>
    </row>
    <row r="13" spans="1:9" x14ac:dyDescent="0.2">
      <c r="A13" t="s">
        <v>67</v>
      </c>
      <c r="B13">
        <v>75</v>
      </c>
      <c r="C13">
        <f t="shared" si="0"/>
        <v>0.18693312000118675</v>
      </c>
      <c r="D13" s="24">
        <v>2.75E-2</v>
      </c>
      <c r="E13">
        <f t="shared" si="1"/>
        <v>0.53065934474330589</v>
      </c>
      <c r="F13">
        <f t="shared" si="2"/>
        <v>2.3714406097793117</v>
      </c>
      <c r="G13">
        <v>4.7</v>
      </c>
      <c r="H13">
        <v>105</v>
      </c>
      <c r="I13">
        <f t="shared" si="3"/>
        <v>75</v>
      </c>
    </row>
    <row r="14" spans="1:9" x14ac:dyDescent="0.2">
      <c r="A14" t="s">
        <v>55</v>
      </c>
      <c r="B14">
        <v>100</v>
      </c>
      <c r="C14">
        <f t="shared" si="0"/>
        <v>0.40680208090393727</v>
      </c>
      <c r="D14">
        <v>2.75E-2</v>
      </c>
      <c r="E14">
        <f t="shared" si="1"/>
        <v>0.5041638258704968</v>
      </c>
      <c r="F14">
        <f t="shared" si="2"/>
        <v>2.5118864315095806</v>
      </c>
      <c r="G14">
        <v>5.2</v>
      </c>
      <c r="H14">
        <v>125</v>
      </c>
      <c r="I14">
        <f t="shared" si="3"/>
        <v>100</v>
      </c>
    </row>
    <row r="15" spans="1:9" x14ac:dyDescent="0.2">
      <c r="A15" t="s">
        <v>56</v>
      </c>
      <c r="B15">
        <v>125</v>
      </c>
      <c r="C15">
        <f t="shared" si="0"/>
        <v>0.74356893933229817</v>
      </c>
      <c r="D15" s="24">
        <v>2.75E-2</v>
      </c>
      <c r="E15">
        <f t="shared" si="1"/>
        <v>0.48361230479445805</v>
      </c>
      <c r="F15">
        <f t="shared" si="2"/>
        <v>2.6265278044037674</v>
      </c>
      <c r="G15">
        <v>5.6</v>
      </c>
      <c r="H15">
        <v>128</v>
      </c>
      <c r="I15">
        <f t="shared" si="3"/>
        <v>125</v>
      </c>
    </row>
    <row r="16" spans="1:9" x14ac:dyDescent="0.2">
      <c r="A16" t="s">
        <v>58</v>
      </c>
      <c r="B16">
        <v>150</v>
      </c>
      <c r="C16">
        <f t="shared" si="0"/>
        <v>1.2171391441307893</v>
      </c>
      <c r="D16">
        <v>2.9499999999999998E-2</v>
      </c>
      <c r="E16">
        <f t="shared" si="1"/>
        <v>0.46682048941373488</v>
      </c>
      <c r="F16">
        <f t="shared" si="2"/>
        <v>2.7240699274266613</v>
      </c>
      <c r="G16">
        <v>5.9</v>
      </c>
      <c r="H16">
        <v>130</v>
      </c>
      <c r="I16">
        <f t="shared" si="3"/>
        <v>150</v>
      </c>
    </row>
    <row r="17" spans="1:9" x14ac:dyDescent="0.2">
      <c r="A17" t="s">
        <v>59</v>
      </c>
      <c r="B17">
        <v>175</v>
      </c>
      <c r="C17">
        <f t="shared" si="0"/>
        <v>1.846250847107942</v>
      </c>
      <c r="D17" s="24">
        <v>2.75E-2</v>
      </c>
      <c r="E17">
        <f t="shared" si="1"/>
        <v>0.45262321180164433</v>
      </c>
      <c r="F17">
        <f t="shared" si="2"/>
        <v>2.8093613917206541</v>
      </c>
      <c r="G17">
        <v>6.2</v>
      </c>
      <c r="H17">
        <v>130</v>
      </c>
      <c r="I17">
        <f t="shared" si="3"/>
        <v>175</v>
      </c>
    </row>
    <row r="18" spans="1:9" x14ac:dyDescent="0.2">
      <c r="A18" t="s">
        <v>60</v>
      </c>
      <c r="B18">
        <v>200</v>
      </c>
      <c r="C18">
        <f t="shared" si="0"/>
        <v>2.6487266492898556</v>
      </c>
      <c r="D18" s="24">
        <v>2.75E-2</v>
      </c>
      <c r="E18">
        <f t="shared" si="1"/>
        <v>0.44032497054092584</v>
      </c>
      <c r="F18">
        <f t="shared" si="2"/>
        <v>2.8853998118144268</v>
      </c>
      <c r="G18">
        <v>6.5</v>
      </c>
      <c r="H18">
        <v>132</v>
      </c>
      <c r="I18">
        <f t="shared" si="3"/>
        <v>200</v>
      </c>
    </row>
    <row r="19" spans="1:9" x14ac:dyDescent="0.2">
      <c r="A19" t="s">
        <v>61</v>
      </c>
      <c r="B19">
        <v>250</v>
      </c>
      <c r="C19">
        <f t="shared" si="0"/>
        <v>4.8414473712063772</v>
      </c>
      <c r="D19">
        <v>2.35E-2</v>
      </c>
      <c r="E19">
        <f t="shared" si="1"/>
        <v>0.41977344946488715</v>
      </c>
      <c r="F19">
        <f t="shared" si="2"/>
        <v>3.0170881682725814</v>
      </c>
      <c r="G19">
        <v>6.9</v>
      </c>
      <c r="H19">
        <v>134</v>
      </c>
      <c r="I19">
        <f t="shared" si="3"/>
        <v>250</v>
      </c>
    </row>
    <row r="20" spans="1:9" x14ac:dyDescent="0.2">
      <c r="A20" t="s">
        <v>63</v>
      </c>
      <c r="B20">
        <v>300</v>
      </c>
      <c r="C20">
        <f t="shared" si="0"/>
        <v>7.924907561410329</v>
      </c>
      <c r="D20">
        <v>2.6499999999999999E-2</v>
      </c>
      <c r="E20">
        <f t="shared" si="1"/>
        <v>0.40298163408416388</v>
      </c>
      <c r="F20">
        <f t="shared" si="2"/>
        <v>3.1291346445318982</v>
      </c>
      <c r="G20">
        <v>7.3</v>
      </c>
      <c r="H20">
        <v>136</v>
      </c>
      <c r="I20">
        <f t="shared" si="3"/>
        <v>300</v>
      </c>
    </row>
    <row r="24" spans="1:9" x14ac:dyDescent="0.2">
      <c r="A24" s="25"/>
      <c r="B24" s="27" t="s">
        <v>115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5"/>
  </sheetPr>
  <dimension ref="A3:H27"/>
  <sheetViews>
    <sheetView workbookViewId="0">
      <selection activeCell="H41" sqref="H41"/>
    </sheetView>
  </sheetViews>
  <sheetFormatPr defaultRowHeight="12.75" x14ac:dyDescent="0.2"/>
  <sheetData>
    <row r="3" spans="1:8" x14ac:dyDescent="0.2">
      <c r="A3" s="16" t="s">
        <v>99</v>
      </c>
    </row>
    <row r="4" spans="1:8" x14ac:dyDescent="0.2">
      <c r="A4" s="18" t="s">
        <v>78</v>
      </c>
      <c r="B4" s="18" t="s">
        <v>86</v>
      </c>
      <c r="C4" s="18"/>
      <c r="D4" s="18" t="s">
        <v>79</v>
      </c>
      <c r="E4" s="18" t="s">
        <v>80</v>
      </c>
      <c r="F4" s="18" t="s">
        <v>81</v>
      </c>
      <c r="G4" s="18" t="s">
        <v>82</v>
      </c>
      <c r="H4" s="18" t="s">
        <v>83</v>
      </c>
    </row>
    <row r="5" spans="1:8" x14ac:dyDescent="0.2">
      <c r="A5" s="18">
        <v>-10</v>
      </c>
      <c r="B5" s="18">
        <f>'Input data'!$N$20*A5/10</f>
        <v>-50</v>
      </c>
      <c r="C5" s="18">
        <f>+SQRT(('Input data'!$N$20*'Input data'!$N$20)-(B5*B5))</f>
        <v>0</v>
      </c>
      <c r="D5" s="18">
        <f>IF('Input data'!$B$26="s",'Input data'!$N$10+'Input data'!$N$20*A5/10,0)</f>
        <v>-13.74978004312041</v>
      </c>
      <c r="E5" s="19">
        <f>+'Input data'!$N$11-C5</f>
        <v>0</v>
      </c>
      <c r="F5" s="19">
        <f>+'Input data'!$N$11+C5</f>
        <v>0</v>
      </c>
      <c r="G5" s="19">
        <f>IF(Fallout!$B$22=1,0,+'Input data'!$N$12-C5)</f>
        <v>184.14571015115405</v>
      </c>
      <c r="H5" s="19">
        <f>+'Input data'!$N$12+C5</f>
        <v>184.14571015115405</v>
      </c>
    </row>
    <row r="6" spans="1:8" x14ac:dyDescent="0.2">
      <c r="A6" s="18">
        <v>-9</v>
      </c>
      <c r="B6" s="18">
        <f>'Input data'!$N$20*A6/10</f>
        <v>-45</v>
      </c>
      <c r="C6" s="20">
        <f>+SQRT(('Input data'!$N$20*'Input data'!$N$20)-(B6*B6))</f>
        <v>21.794494717703369</v>
      </c>
      <c r="D6" s="18">
        <f>IF('Input data'!$B$26="s",'Input data'!$N$10+'Input data'!$N$20*A6/10,0)</f>
        <v>-8.7497800431204098</v>
      </c>
      <c r="E6" s="19">
        <f>+'Input data'!$N$11-C6</f>
        <v>-21.794494717703369</v>
      </c>
      <c r="F6" s="19">
        <f>+'Input data'!$N$11+C6</f>
        <v>21.794494717703369</v>
      </c>
      <c r="G6" s="19">
        <f>IF(Fallout!$B$22=1,0,+'Input data'!$N$12-C6)</f>
        <v>162.35121543345068</v>
      </c>
      <c r="H6" s="19">
        <f>+'Input data'!$N$12+C6</f>
        <v>205.94020486885742</v>
      </c>
    </row>
    <row r="7" spans="1:8" x14ac:dyDescent="0.2">
      <c r="A7" s="18">
        <v>-8</v>
      </c>
      <c r="B7" s="18">
        <f>'Input data'!$N$20*A7/10</f>
        <v>-40</v>
      </c>
      <c r="C7" s="20">
        <f>+SQRT(('Input data'!$N$20*'Input data'!$N$20)-(B7*B7))</f>
        <v>30</v>
      </c>
      <c r="D7" s="18">
        <f>IF('Input data'!$B$26="s",'Input data'!$N$10+'Input data'!$N$20*A7/10,0)</f>
        <v>-3.7497800431204098</v>
      </c>
      <c r="E7" s="19">
        <f>+'Input data'!$N$11-C7</f>
        <v>-30</v>
      </c>
      <c r="F7" s="19">
        <f>+'Input data'!$N$11+C7</f>
        <v>30</v>
      </c>
      <c r="G7" s="19">
        <f>IF(Fallout!$B$22=1,0,+'Input data'!$N$12-C7)</f>
        <v>154.14571015115405</v>
      </c>
      <c r="H7" s="19">
        <f>+'Input data'!$N$12+C7</f>
        <v>214.14571015115405</v>
      </c>
    </row>
    <row r="8" spans="1:8" x14ac:dyDescent="0.2">
      <c r="A8" s="18">
        <v>-7</v>
      </c>
      <c r="B8" s="18">
        <f>'Input data'!$N$20*A8/10</f>
        <v>-35</v>
      </c>
      <c r="C8" s="20">
        <f>+SQRT(('Input data'!$N$20*'Input data'!$N$20)-(B8*B8))</f>
        <v>35.707142142714247</v>
      </c>
      <c r="D8" s="18">
        <f>IF('Input data'!$B$26="s",'Input data'!$N$10+'Input data'!$N$20*A8/10,0)</f>
        <v>1.2502199568795902</v>
      </c>
      <c r="E8" s="19">
        <f>+'Input data'!$N$11-C8</f>
        <v>-35.707142142714247</v>
      </c>
      <c r="F8" s="19">
        <f>+'Input data'!$N$11+C8</f>
        <v>35.707142142714247</v>
      </c>
      <c r="G8" s="19">
        <f>IF(Fallout!$B$22=1,0,+'Input data'!$N$12-C8)</f>
        <v>148.4385680084398</v>
      </c>
      <c r="H8" s="19">
        <f>+'Input data'!$N$12+C8</f>
        <v>219.8528522938683</v>
      </c>
    </row>
    <row r="9" spans="1:8" x14ac:dyDescent="0.2">
      <c r="A9" s="18">
        <v>-6</v>
      </c>
      <c r="B9" s="18">
        <f>'Input data'!$N$20*A9/10</f>
        <v>-30</v>
      </c>
      <c r="C9" s="20">
        <f>+SQRT(('Input data'!$N$20*'Input data'!$N$20)-(B9*B9))</f>
        <v>40</v>
      </c>
      <c r="D9" s="18">
        <f>IF('Input data'!$B$26="s",'Input data'!$N$10+'Input data'!$N$20*A9/10,0)</f>
        <v>6.2502199568795902</v>
      </c>
      <c r="E9" s="19">
        <f>+'Input data'!$N$11-C9</f>
        <v>-40</v>
      </c>
      <c r="F9" s="19">
        <f>+'Input data'!$N$11+C9</f>
        <v>40</v>
      </c>
      <c r="G9" s="19">
        <f>IF(Fallout!$B$22=1,0,+'Input data'!$N$12-C9)</f>
        <v>144.14571015115405</v>
      </c>
      <c r="H9" s="19">
        <f>+'Input data'!$N$12+C9</f>
        <v>224.14571015115405</v>
      </c>
    </row>
    <row r="10" spans="1:8" x14ac:dyDescent="0.2">
      <c r="A10" s="18">
        <v>-5</v>
      </c>
      <c r="B10" s="18">
        <f>'Input data'!$N$20*A10/10</f>
        <v>-25</v>
      </c>
      <c r="C10" s="20">
        <f>+SQRT(('Input data'!$N$20*'Input data'!$N$20)-(B10*B10))</f>
        <v>43.301270189221931</v>
      </c>
      <c r="D10" s="18">
        <f>IF('Input data'!$B$26="s",'Input data'!$N$10+'Input data'!$N$20*A10/10,0)</f>
        <v>11.25021995687959</v>
      </c>
      <c r="E10" s="19">
        <f>+'Input data'!$N$11-C10</f>
        <v>-43.301270189221931</v>
      </c>
      <c r="F10" s="19">
        <f>+'Input data'!$N$11+C10</f>
        <v>43.301270189221931</v>
      </c>
      <c r="G10" s="19">
        <f>IF(Fallout!$B$22=1,0,+'Input data'!$N$12-C10)</f>
        <v>140.84443996193212</v>
      </c>
      <c r="H10" s="19">
        <f>+'Input data'!$N$12+C10</f>
        <v>227.44698034037597</v>
      </c>
    </row>
    <row r="11" spans="1:8" x14ac:dyDescent="0.2">
      <c r="A11" s="18">
        <v>-4</v>
      </c>
      <c r="B11" s="18">
        <f>'Input data'!$N$20*A11/10</f>
        <v>-20</v>
      </c>
      <c r="C11" s="20">
        <f>+SQRT(('Input data'!$N$20*'Input data'!$N$20)-(B11*B11))</f>
        <v>45.825756949558397</v>
      </c>
      <c r="D11" s="18">
        <f>IF('Input data'!$B$26="s",'Input data'!$N$10+'Input data'!$N$20*A11/10,0)</f>
        <v>16.25021995687959</v>
      </c>
      <c r="E11" s="19">
        <f>+'Input data'!$N$11-C11</f>
        <v>-45.825756949558397</v>
      </c>
      <c r="F11" s="19">
        <f>+'Input data'!$N$11+C11</f>
        <v>45.825756949558397</v>
      </c>
      <c r="G11" s="19">
        <f>IF(Fallout!$B$22=1,0,+'Input data'!$N$12-C11)</f>
        <v>138.31995320159564</v>
      </c>
      <c r="H11" s="19">
        <f>+'Input data'!$N$12+C11</f>
        <v>229.97146710071246</v>
      </c>
    </row>
    <row r="12" spans="1:8" x14ac:dyDescent="0.2">
      <c r="A12" s="18">
        <v>-3</v>
      </c>
      <c r="B12" s="18">
        <f>'Input data'!$N$20*A12/10</f>
        <v>-15</v>
      </c>
      <c r="C12" s="20">
        <f>+SQRT(('Input data'!$N$20*'Input data'!$N$20)-(B12*B12))</f>
        <v>47.696960070847283</v>
      </c>
      <c r="D12" s="18">
        <f>IF('Input data'!$B$26="s",'Input data'!$N$10+'Input data'!$N$20*A12/10,0)</f>
        <v>21.25021995687959</v>
      </c>
      <c r="E12" s="19">
        <f>+'Input data'!$N$11-C12</f>
        <v>-47.696960070847283</v>
      </c>
      <c r="F12" s="19">
        <f>+'Input data'!$N$11+C12</f>
        <v>47.696960070847283</v>
      </c>
      <c r="G12" s="19">
        <f>IF(Fallout!$B$22=1,0,+'Input data'!$N$12-C12)</f>
        <v>136.44875008030675</v>
      </c>
      <c r="H12" s="19">
        <f>+'Input data'!$N$12+C12</f>
        <v>231.84267022200135</v>
      </c>
    </row>
    <row r="13" spans="1:8" x14ac:dyDescent="0.2">
      <c r="A13" s="18">
        <v>-2</v>
      </c>
      <c r="B13" s="18">
        <f>'Input data'!$N$20*A13/10</f>
        <v>-10</v>
      </c>
      <c r="C13" s="20">
        <f>+SQRT(('Input data'!$N$20*'Input data'!$N$20)-(B13*B13))</f>
        <v>48.989794855663561</v>
      </c>
      <c r="D13" s="18">
        <f>IF('Input data'!$B$26="s",'Input data'!$N$10+'Input data'!$N$20*A13/10,0)</f>
        <v>26.25021995687959</v>
      </c>
      <c r="E13" s="19">
        <f>+'Input data'!$N$11-C13</f>
        <v>-48.989794855663561</v>
      </c>
      <c r="F13" s="19">
        <f>+'Input data'!$N$11+C13</f>
        <v>48.989794855663561</v>
      </c>
      <c r="G13" s="19">
        <f>IF(Fallout!$B$22=1,0,+'Input data'!$N$12-C13)</f>
        <v>135.1559152954905</v>
      </c>
      <c r="H13" s="19">
        <f>+'Input data'!$N$12+C13</f>
        <v>233.1355050068176</v>
      </c>
    </row>
    <row r="14" spans="1:8" x14ac:dyDescent="0.2">
      <c r="A14" s="18">
        <v>-1</v>
      </c>
      <c r="B14" s="18">
        <f>'Input data'!$N$20*A14/10</f>
        <v>-5</v>
      </c>
      <c r="C14" s="20">
        <f>+SQRT(('Input data'!$N$20*'Input data'!$N$20)-(B14*B14))</f>
        <v>49.749371855330999</v>
      </c>
      <c r="D14" s="18">
        <f>IF('Input data'!$B$26="s",'Input data'!$N$10+'Input data'!$N$20*A14/10,0)</f>
        <v>31.25021995687959</v>
      </c>
      <c r="E14" s="19">
        <f>+'Input data'!$N$11-C14</f>
        <v>-49.749371855330999</v>
      </c>
      <c r="F14" s="19">
        <f>+'Input data'!$N$11+C14</f>
        <v>49.749371855330999</v>
      </c>
      <c r="G14" s="19">
        <f>IF(Fallout!$B$22=1,0,+'Input data'!$N$12-C14)</f>
        <v>134.39633829582306</v>
      </c>
      <c r="H14" s="19">
        <f>+'Input data'!$N$12+C14</f>
        <v>233.89508200648504</v>
      </c>
    </row>
    <row r="15" spans="1:8" x14ac:dyDescent="0.2">
      <c r="A15" s="18">
        <v>0</v>
      </c>
      <c r="B15" s="18">
        <f>'Input data'!$N$20*A15/10</f>
        <v>0</v>
      </c>
      <c r="C15" s="20">
        <f>+SQRT(('Input data'!$N$20*'Input data'!$N$20)-(B15*B15))</f>
        <v>50</v>
      </c>
      <c r="D15" s="18">
        <f>IF('Input data'!$B$26="s",'Input data'!$N$10+'Input data'!$N$20*A15/10,0)</f>
        <v>36.25021995687959</v>
      </c>
      <c r="E15" s="19">
        <f>+'Input data'!$N$11-C15</f>
        <v>-50</v>
      </c>
      <c r="F15" s="19">
        <f>+'Input data'!$N$11+C15</f>
        <v>50</v>
      </c>
      <c r="G15" s="19">
        <f>IF(Fallout!$B$22=1,0,+'Input data'!$N$12-C15)</f>
        <v>134.14571015115405</v>
      </c>
      <c r="H15" s="19">
        <f>+'Input data'!$N$12+C15</f>
        <v>234.14571015115405</v>
      </c>
    </row>
    <row r="16" spans="1:8" x14ac:dyDescent="0.2">
      <c r="A16" s="18">
        <v>1</v>
      </c>
      <c r="B16" s="18">
        <f>'Input data'!$N$20*A16/10</f>
        <v>5</v>
      </c>
      <c r="C16" s="20">
        <f>+SQRT(('Input data'!$N$20*'Input data'!$N$20)-(B16*B16))</f>
        <v>49.749371855330999</v>
      </c>
      <c r="D16" s="18">
        <f>IF('Input data'!$B$26="s",'Input data'!$N$10+'Input data'!$N$20*A16/10,0)</f>
        <v>41.25021995687959</v>
      </c>
      <c r="E16" s="19">
        <f>+'Input data'!$N$11-C16</f>
        <v>-49.749371855330999</v>
      </c>
      <c r="F16" s="19">
        <f>+'Input data'!$N$11+C16</f>
        <v>49.749371855330999</v>
      </c>
      <c r="G16" s="19">
        <f>IF(Fallout!$B$22=1,0,+'Input data'!$N$12-C16)</f>
        <v>134.39633829582306</v>
      </c>
      <c r="H16" s="19">
        <f>+'Input data'!$N$12+C16</f>
        <v>233.89508200648504</v>
      </c>
    </row>
    <row r="17" spans="1:8" x14ac:dyDescent="0.2">
      <c r="A17" s="18">
        <v>2</v>
      </c>
      <c r="B17" s="18">
        <f>'Input data'!$N$20*A17/10</f>
        <v>10</v>
      </c>
      <c r="C17" s="20">
        <f>+SQRT(('Input data'!$N$20*'Input data'!$N$20)-(B17*B17))</f>
        <v>48.989794855663561</v>
      </c>
      <c r="D17" s="18">
        <f>IF('Input data'!$B$26="s",'Input data'!$N$10+'Input data'!$N$20*A17/10,0)</f>
        <v>46.25021995687959</v>
      </c>
      <c r="E17" s="19">
        <f>+'Input data'!$N$11-C17</f>
        <v>-48.989794855663561</v>
      </c>
      <c r="F17" s="19">
        <f>+'Input data'!$N$11+C17</f>
        <v>48.989794855663561</v>
      </c>
      <c r="G17" s="19">
        <f>IF(Fallout!$B$22=1,0,+'Input data'!$N$12-C17)</f>
        <v>135.1559152954905</v>
      </c>
      <c r="H17" s="19">
        <f>+'Input data'!$N$12+C17</f>
        <v>233.1355050068176</v>
      </c>
    </row>
    <row r="18" spans="1:8" x14ac:dyDescent="0.2">
      <c r="A18" s="18">
        <v>3</v>
      </c>
      <c r="B18" s="18">
        <f>'Input data'!$N$20*A18/10</f>
        <v>15</v>
      </c>
      <c r="C18" s="20">
        <f>+SQRT(('Input data'!$N$20*'Input data'!$N$20)-(B18*B18))</f>
        <v>47.696960070847283</v>
      </c>
      <c r="D18" s="18">
        <f>IF('Input data'!$B$26="s",'Input data'!$N$10+'Input data'!$N$20*A18/10,0)</f>
        <v>51.25021995687959</v>
      </c>
      <c r="E18" s="19">
        <f>+'Input data'!$N$11-C18</f>
        <v>-47.696960070847283</v>
      </c>
      <c r="F18" s="19">
        <f>+'Input data'!$N$11+C18</f>
        <v>47.696960070847283</v>
      </c>
      <c r="G18" s="19">
        <f>IF(Fallout!$B$22=1,0,+'Input data'!$N$12-C18)</f>
        <v>136.44875008030675</v>
      </c>
      <c r="H18" s="19">
        <f>+'Input data'!$N$12+C18</f>
        <v>231.84267022200135</v>
      </c>
    </row>
    <row r="19" spans="1:8" x14ac:dyDescent="0.2">
      <c r="A19" s="18">
        <v>4</v>
      </c>
      <c r="B19" s="18">
        <f>'Input data'!$N$20*A19/10</f>
        <v>20</v>
      </c>
      <c r="C19" s="20">
        <f>+SQRT(('Input data'!$N$20*'Input data'!$N$20)-(B19*B19))</f>
        <v>45.825756949558397</v>
      </c>
      <c r="D19" s="18">
        <f>IF('Input data'!$B$26="s",'Input data'!$N$10+'Input data'!$N$20*A19/10,0)</f>
        <v>56.25021995687959</v>
      </c>
      <c r="E19" s="19">
        <f>+'Input data'!$N$11-C19</f>
        <v>-45.825756949558397</v>
      </c>
      <c r="F19" s="19">
        <f>+'Input data'!$N$11+C19</f>
        <v>45.825756949558397</v>
      </c>
      <c r="G19" s="19">
        <f>IF(Fallout!$B$22=1,0,+'Input data'!$N$12-C19)</f>
        <v>138.31995320159564</v>
      </c>
      <c r="H19" s="19">
        <f>+'Input data'!$N$12+C19</f>
        <v>229.97146710071246</v>
      </c>
    </row>
    <row r="20" spans="1:8" x14ac:dyDescent="0.2">
      <c r="A20" s="18">
        <v>5</v>
      </c>
      <c r="B20" s="18">
        <f>'Input data'!$N$20*A20/10</f>
        <v>25</v>
      </c>
      <c r="C20" s="20">
        <f>+SQRT(('Input data'!$N$20*'Input data'!$N$20)-(B20*B20))</f>
        <v>43.301270189221931</v>
      </c>
      <c r="D20" s="18">
        <f>IF('Input data'!$B$26="s",'Input data'!$N$10+'Input data'!$N$20*A20/10,0)</f>
        <v>61.25021995687959</v>
      </c>
      <c r="E20" s="19">
        <f>+'Input data'!$N$11-C20</f>
        <v>-43.301270189221931</v>
      </c>
      <c r="F20" s="19">
        <f>+'Input data'!$N$11+C20</f>
        <v>43.301270189221931</v>
      </c>
      <c r="G20" s="19">
        <f>IF(Fallout!$B$22=1,0,+'Input data'!$N$12-C20)</f>
        <v>140.84443996193212</v>
      </c>
      <c r="H20" s="19">
        <f>+'Input data'!$N$12+C20</f>
        <v>227.44698034037597</v>
      </c>
    </row>
    <row r="21" spans="1:8" x14ac:dyDescent="0.2">
      <c r="A21" s="18">
        <v>6</v>
      </c>
      <c r="B21" s="18">
        <f>'Input data'!$N$20*A21/10</f>
        <v>30</v>
      </c>
      <c r="C21" s="20">
        <f>+SQRT(('Input data'!$N$20*'Input data'!$N$20)-(B21*B21))</f>
        <v>40</v>
      </c>
      <c r="D21" s="18">
        <f>IF('Input data'!$B$26="s",'Input data'!$N$10+'Input data'!$N$20*A21/10,0)</f>
        <v>66.25021995687959</v>
      </c>
      <c r="E21" s="19">
        <f>+'Input data'!$N$11-C21</f>
        <v>-40</v>
      </c>
      <c r="F21" s="19">
        <f>+'Input data'!$N$11+C21</f>
        <v>40</v>
      </c>
      <c r="G21" s="19">
        <f>IF(Fallout!$B$22=1,0,+'Input data'!$N$12-C21)</f>
        <v>144.14571015115405</v>
      </c>
      <c r="H21" s="19">
        <f>+'Input data'!$N$12+C21</f>
        <v>224.14571015115405</v>
      </c>
    </row>
    <row r="22" spans="1:8" x14ac:dyDescent="0.2">
      <c r="A22" s="18">
        <v>7</v>
      </c>
      <c r="B22" s="18">
        <f>'Input data'!$N$20*A22/10</f>
        <v>35</v>
      </c>
      <c r="C22" s="20">
        <f>+SQRT(('Input data'!$N$20*'Input data'!$N$20)-(B22*B22))</f>
        <v>35.707142142714247</v>
      </c>
      <c r="D22" s="18">
        <f>IF('Input data'!$B$26="s",'Input data'!$N$10+'Input data'!$N$20*A22/10,0)</f>
        <v>71.25021995687959</v>
      </c>
      <c r="E22" s="19">
        <f>+'Input data'!$N$11-C22</f>
        <v>-35.707142142714247</v>
      </c>
      <c r="F22" s="19">
        <f>+'Input data'!$N$11+C22</f>
        <v>35.707142142714247</v>
      </c>
      <c r="G22" s="19">
        <f>IF(Fallout!$B$22=1,0,+'Input data'!$N$12-C22)</f>
        <v>148.4385680084398</v>
      </c>
      <c r="H22" s="19">
        <f>+'Input data'!$N$12+C22</f>
        <v>219.8528522938683</v>
      </c>
    </row>
    <row r="23" spans="1:8" x14ac:dyDescent="0.2">
      <c r="A23" s="18">
        <v>8</v>
      </c>
      <c r="B23" s="18">
        <f>'Input data'!$N$20*A23/10</f>
        <v>40</v>
      </c>
      <c r="C23" s="20">
        <f>+SQRT(('Input data'!$N$20*'Input data'!$N$20)-(B23*B23))</f>
        <v>30</v>
      </c>
      <c r="D23" s="18">
        <f>IF('Input data'!$B$26="s",'Input data'!$N$10+'Input data'!$N$20*A23/10,0)</f>
        <v>76.25021995687959</v>
      </c>
      <c r="E23" s="19">
        <f>+'Input data'!$N$11-C23</f>
        <v>-30</v>
      </c>
      <c r="F23" s="19">
        <f>+'Input data'!$N$11+C23</f>
        <v>30</v>
      </c>
      <c r="G23" s="19">
        <f>IF(Fallout!$B$22=1,0,+'Input data'!$N$12-C23)</f>
        <v>154.14571015115405</v>
      </c>
      <c r="H23" s="19">
        <f>+'Input data'!$N$12+C23</f>
        <v>214.14571015115405</v>
      </c>
    </row>
    <row r="24" spans="1:8" x14ac:dyDescent="0.2">
      <c r="A24" s="18">
        <v>9</v>
      </c>
      <c r="B24" s="18">
        <f>'Input data'!$N$20*A24/10</f>
        <v>45</v>
      </c>
      <c r="C24" s="20">
        <f>+SQRT(('Input data'!$N$20*'Input data'!$N$20)-(B24*B24))</f>
        <v>21.794494717703369</v>
      </c>
      <c r="D24" s="18">
        <f>IF('Input data'!$B$26="s",'Input data'!$N$10+'Input data'!$N$20*A24/10,0)</f>
        <v>81.25021995687959</v>
      </c>
      <c r="E24" s="19">
        <f>+'Input data'!$N$11-C24</f>
        <v>-21.794494717703369</v>
      </c>
      <c r="F24" s="19">
        <f>+'Input data'!$N$11+C24</f>
        <v>21.794494717703369</v>
      </c>
      <c r="G24" s="19">
        <f>IF(Fallout!$B$22=1,0,+'Input data'!$N$12-C24)</f>
        <v>162.35121543345068</v>
      </c>
      <c r="H24" s="19">
        <f>+'Input data'!$N$12+C24</f>
        <v>205.94020486885742</v>
      </c>
    </row>
    <row r="25" spans="1:8" x14ac:dyDescent="0.2">
      <c r="A25" s="18">
        <v>10</v>
      </c>
      <c r="B25" s="18">
        <f>'Input data'!$N$20*A25/10</f>
        <v>50</v>
      </c>
      <c r="C25" s="20">
        <f>+SQRT(('Input data'!$N$20*'Input data'!$N$20)-(B25*B25))</f>
        <v>0</v>
      </c>
      <c r="D25" s="18">
        <f>IF('Input data'!$B$26="s",'Input data'!$N$10+'Input data'!$N$20*A25/10,0)</f>
        <v>86.25021995687959</v>
      </c>
      <c r="E25" s="19">
        <f>+'Input data'!$N$11-C25</f>
        <v>0</v>
      </c>
      <c r="F25" s="19">
        <f>+'Input data'!$N$11+C25</f>
        <v>0</v>
      </c>
      <c r="G25" s="19">
        <f>IF(Fallout!$B$22=1,0,+'Input data'!$N$12-C25)</f>
        <v>184.14571015115405</v>
      </c>
      <c r="H25" s="19">
        <f>+'Input data'!$N$12+C25</f>
        <v>184.14571015115405</v>
      </c>
    </row>
    <row r="26" spans="1:8" x14ac:dyDescent="0.2">
      <c r="A26" s="18"/>
      <c r="B26" s="18"/>
      <c r="C26" s="18"/>
      <c r="D26" s="18"/>
      <c r="E26" s="18"/>
      <c r="F26" s="18"/>
      <c r="G26" s="18"/>
      <c r="H26" s="18"/>
    </row>
    <row r="27" spans="1:8" x14ac:dyDescent="0.2">
      <c r="A27" s="18"/>
      <c r="B27" s="18"/>
      <c r="C27" s="18"/>
      <c r="D27" s="18">
        <v>50</v>
      </c>
      <c r="E27" s="18">
        <v>0</v>
      </c>
      <c r="F27" s="18">
        <v>0</v>
      </c>
      <c r="G27" s="18">
        <v>0</v>
      </c>
      <c r="H27" s="18">
        <v>0</v>
      </c>
    </row>
  </sheetData>
  <sheetProtection password="DC79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20"/>
  <sheetViews>
    <sheetView topLeftCell="A7" workbookViewId="0">
      <selection activeCell="K37" sqref="K37"/>
    </sheetView>
  </sheetViews>
  <sheetFormatPr defaultRowHeight="12.75" x14ac:dyDescent="0.2"/>
  <sheetData>
    <row r="1" spans="1:8" x14ac:dyDescent="0.2">
      <c r="A1" t="s">
        <v>264</v>
      </c>
      <c r="B1" t="s">
        <v>290</v>
      </c>
      <c r="C1" t="s">
        <v>289</v>
      </c>
      <c r="D1" t="s">
        <v>265</v>
      </c>
      <c r="E1" t="s">
        <v>266</v>
      </c>
      <c r="F1" t="s">
        <v>267</v>
      </c>
      <c r="G1" t="s">
        <v>268</v>
      </c>
      <c r="H1" t="s">
        <v>269</v>
      </c>
    </row>
    <row r="2" spans="1:8" x14ac:dyDescent="0.2">
      <c r="A2">
        <v>170</v>
      </c>
      <c r="B2">
        <v>451</v>
      </c>
      <c r="C2">
        <v>407</v>
      </c>
      <c r="D2">
        <v>359</v>
      </c>
      <c r="E2">
        <v>302</v>
      </c>
      <c r="F2">
        <v>269</v>
      </c>
      <c r="G2">
        <v>232</v>
      </c>
      <c r="H2">
        <v>191</v>
      </c>
    </row>
    <row r="3" spans="1:8" x14ac:dyDescent="0.2">
      <c r="A3">
        <v>160</v>
      </c>
      <c r="B3">
        <v>428</v>
      </c>
      <c r="C3">
        <v>388</v>
      </c>
      <c r="D3">
        <v>343</v>
      </c>
      <c r="E3">
        <v>289</v>
      </c>
      <c r="F3">
        <v>258</v>
      </c>
      <c r="G3">
        <v>224</v>
      </c>
      <c r="H3">
        <v>185</v>
      </c>
    </row>
    <row r="4" spans="1:8" x14ac:dyDescent="0.2">
      <c r="A4">
        <v>150</v>
      </c>
      <c r="B4">
        <v>405</v>
      </c>
      <c r="C4">
        <v>367</v>
      </c>
      <c r="D4">
        <v>325</v>
      </c>
      <c r="E4">
        <v>275</v>
      </c>
      <c r="F4">
        <v>247</v>
      </c>
      <c r="G4">
        <v>215</v>
      </c>
      <c r="H4">
        <v>178</v>
      </c>
    </row>
    <row r="5" spans="1:8" ht="15" x14ac:dyDescent="0.25">
      <c r="A5">
        <v>140</v>
      </c>
      <c r="B5">
        <v>379</v>
      </c>
      <c r="C5">
        <v>346</v>
      </c>
      <c r="D5" s="131">
        <v>307</v>
      </c>
      <c r="E5">
        <v>261</v>
      </c>
      <c r="F5">
        <v>235</v>
      </c>
      <c r="G5">
        <v>205</v>
      </c>
      <c r="H5">
        <v>171</v>
      </c>
    </row>
    <row r="6" spans="1:8" ht="15" x14ac:dyDescent="0.25">
      <c r="A6" s="132">
        <v>130</v>
      </c>
      <c r="B6" s="132">
        <v>353</v>
      </c>
      <c r="C6" s="132">
        <v>322</v>
      </c>
      <c r="D6" s="132">
        <v>288</v>
      </c>
      <c r="E6" s="131">
        <v>246</v>
      </c>
      <c r="F6" s="131">
        <v>222</v>
      </c>
      <c r="G6">
        <v>194</v>
      </c>
      <c r="H6">
        <v>163</v>
      </c>
    </row>
    <row r="7" spans="1:8" ht="15" x14ac:dyDescent="0.25">
      <c r="A7">
        <v>120</v>
      </c>
      <c r="B7">
        <v>324</v>
      </c>
      <c r="C7" s="132">
        <v>298</v>
      </c>
      <c r="D7" s="132">
        <v>267</v>
      </c>
      <c r="E7">
        <v>230</v>
      </c>
      <c r="F7">
        <v>208</v>
      </c>
      <c r="G7" s="131">
        <v>183</v>
      </c>
      <c r="H7">
        <v>154</v>
      </c>
    </row>
    <row r="8" spans="1:8" x14ac:dyDescent="0.2">
      <c r="A8">
        <v>110</v>
      </c>
      <c r="B8">
        <v>294</v>
      </c>
      <c r="C8" s="132">
        <v>271</v>
      </c>
      <c r="D8" s="132">
        <v>245</v>
      </c>
      <c r="E8">
        <v>213</v>
      </c>
      <c r="F8">
        <v>193</v>
      </c>
      <c r="G8">
        <v>171</v>
      </c>
      <c r="H8">
        <v>145</v>
      </c>
    </row>
    <row r="9" spans="1:8" ht="15" x14ac:dyDescent="0.25">
      <c r="A9">
        <v>100</v>
      </c>
      <c r="B9">
        <v>261</v>
      </c>
      <c r="C9" s="132">
        <v>243</v>
      </c>
      <c r="D9" s="132">
        <v>222</v>
      </c>
      <c r="E9">
        <v>194</v>
      </c>
      <c r="F9">
        <v>177</v>
      </c>
      <c r="G9">
        <v>158</v>
      </c>
      <c r="H9" s="131">
        <v>135</v>
      </c>
    </row>
    <row r="10" spans="1:8" x14ac:dyDescent="0.2">
      <c r="A10">
        <v>90</v>
      </c>
      <c r="B10">
        <v>226</v>
      </c>
      <c r="C10" s="132">
        <v>212</v>
      </c>
      <c r="D10" s="132">
        <v>198</v>
      </c>
      <c r="E10">
        <v>175</v>
      </c>
      <c r="F10">
        <v>160</v>
      </c>
      <c r="G10">
        <v>144</v>
      </c>
      <c r="H10">
        <v>124</v>
      </c>
    </row>
    <row r="11" spans="1:8" x14ac:dyDescent="0.2">
      <c r="A11">
        <v>80</v>
      </c>
      <c r="B11">
        <v>189</v>
      </c>
      <c r="C11" s="132">
        <v>179</v>
      </c>
      <c r="D11" s="132">
        <v>173</v>
      </c>
      <c r="E11">
        <v>154</v>
      </c>
      <c r="F11">
        <v>142</v>
      </c>
      <c r="G11">
        <v>128</v>
      </c>
      <c r="H11">
        <v>111</v>
      </c>
    </row>
    <row r="12" spans="1:8" x14ac:dyDescent="0.2">
      <c r="A12">
        <v>70</v>
      </c>
      <c r="B12">
        <v>147</v>
      </c>
      <c r="C12" s="132">
        <v>143</v>
      </c>
      <c r="D12" s="132">
        <v>146</v>
      </c>
      <c r="E12">
        <v>132</v>
      </c>
      <c r="F12">
        <v>123</v>
      </c>
      <c r="G12">
        <v>112</v>
      </c>
      <c r="H12">
        <v>98</v>
      </c>
    </row>
    <row r="13" spans="1:8" x14ac:dyDescent="0.2">
      <c r="A13">
        <v>60</v>
      </c>
      <c r="B13">
        <v>103</v>
      </c>
      <c r="C13" s="132">
        <v>103</v>
      </c>
      <c r="D13" s="132">
        <v>119</v>
      </c>
      <c r="E13">
        <v>108</v>
      </c>
      <c r="F13">
        <v>102</v>
      </c>
      <c r="G13">
        <v>94</v>
      </c>
      <c r="H13">
        <v>84</v>
      </c>
    </row>
    <row r="14" spans="1:8" x14ac:dyDescent="0.2">
      <c r="A14">
        <v>50</v>
      </c>
      <c r="B14">
        <v>54</v>
      </c>
      <c r="C14" s="132">
        <v>59</v>
      </c>
      <c r="D14" s="132">
        <v>91</v>
      </c>
      <c r="E14">
        <v>84</v>
      </c>
      <c r="F14">
        <v>80</v>
      </c>
      <c r="G14">
        <v>75</v>
      </c>
      <c r="H14">
        <v>68</v>
      </c>
    </row>
    <row r="19" spans="2:8" x14ac:dyDescent="0.2">
      <c r="B19">
        <v>300</v>
      </c>
      <c r="C19">
        <v>250</v>
      </c>
      <c r="D19">
        <v>200</v>
      </c>
      <c r="E19">
        <v>150</v>
      </c>
      <c r="F19">
        <v>125</v>
      </c>
      <c r="G19">
        <v>100</v>
      </c>
      <c r="H19">
        <v>75</v>
      </c>
    </row>
    <row r="20" spans="2:8" x14ac:dyDescent="0.2">
      <c r="B20">
        <v>2.6027999999999998</v>
      </c>
      <c r="C20">
        <v>2.3875999999999999</v>
      </c>
      <c r="D20">
        <v>2.1642999999999999</v>
      </c>
      <c r="E20">
        <v>1.8562000000000001</v>
      </c>
      <c r="F20">
        <v>1.6763999999999999</v>
      </c>
      <c r="G20">
        <v>1.4725999999999999</v>
      </c>
      <c r="H20">
        <v>1.2374000000000001</v>
      </c>
    </row>
  </sheetData>
  <sheetProtection password="DC79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Q3:R16"/>
  <sheetViews>
    <sheetView workbookViewId="0">
      <selection activeCell="P37" sqref="P37"/>
    </sheetView>
  </sheetViews>
  <sheetFormatPr defaultRowHeight="12.75" x14ac:dyDescent="0.2"/>
  <cols>
    <col min="17" max="17" width="4.85546875" customWidth="1"/>
  </cols>
  <sheetData>
    <row r="3" spans="17:18" x14ac:dyDescent="0.2">
      <c r="Q3" s="50" t="s">
        <v>284</v>
      </c>
    </row>
    <row r="5" spans="17:18" x14ac:dyDescent="0.2">
      <c r="R5" t="s">
        <v>280</v>
      </c>
    </row>
    <row r="6" spans="17:18" x14ac:dyDescent="0.2">
      <c r="R6" t="s">
        <v>281</v>
      </c>
    </row>
    <row r="8" spans="17:18" x14ac:dyDescent="0.2">
      <c r="Q8" s="50" t="s">
        <v>282</v>
      </c>
    </row>
    <row r="10" spans="17:18" x14ac:dyDescent="0.2">
      <c r="Q10">
        <v>1</v>
      </c>
      <c r="R10" s="5" t="s">
        <v>285</v>
      </c>
    </row>
    <row r="11" spans="17:18" x14ac:dyDescent="0.2">
      <c r="R11" t="s">
        <v>283</v>
      </c>
    </row>
    <row r="13" spans="17:18" x14ac:dyDescent="0.2">
      <c r="Q13">
        <v>2</v>
      </c>
      <c r="R13" s="5" t="s">
        <v>286</v>
      </c>
    </row>
    <row r="15" spans="17:18" x14ac:dyDescent="0.2">
      <c r="Q15">
        <v>3</v>
      </c>
      <c r="R15" s="5" t="s">
        <v>287</v>
      </c>
    </row>
    <row r="16" spans="17:18" x14ac:dyDescent="0.2">
      <c r="R16" s="5" t="s">
        <v>288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J2:M7"/>
  <sheetViews>
    <sheetView topLeftCell="A16" zoomScaleNormal="100" workbookViewId="0">
      <selection activeCell="R34" sqref="R34"/>
    </sheetView>
  </sheetViews>
  <sheetFormatPr defaultRowHeight="12.75" x14ac:dyDescent="0.2"/>
  <cols>
    <col min="10" max="10" width="16.140625" customWidth="1"/>
    <col min="11" max="11" width="4.85546875" customWidth="1"/>
  </cols>
  <sheetData>
    <row r="2" spans="10:13" x14ac:dyDescent="0.2">
      <c r="J2" s="125" t="s">
        <v>94</v>
      </c>
      <c r="K2" s="118" t="str">
        <f>+'ShellCalc© Program'!$C$3</f>
        <v>Shells/Bombettes</v>
      </c>
      <c r="L2" s="118"/>
      <c r="M2" s="119"/>
    </row>
    <row r="3" spans="10:13" x14ac:dyDescent="0.2">
      <c r="J3" s="126" t="s">
        <v>249</v>
      </c>
      <c r="K3" s="120" t="str">
        <f>+'ShellCalc© Program'!$C$4</f>
        <v>4" (100mm)</v>
      </c>
      <c r="L3" s="120"/>
      <c r="M3" s="121"/>
    </row>
    <row r="4" spans="10:13" x14ac:dyDescent="0.2">
      <c r="J4" s="126" t="s">
        <v>250</v>
      </c>
      <c r="K4" s="120">
        <f>+'ShellCalc© Program'!$C$5</f>
        <v>0</v>
      </c>
      <c r="L4" s="122" t="s">
        <v>253</v>
      </c>
      <c r="M4" s="121"/>
    </row>
    <row r="5" spans="10:13" x14ac:dyDescent="0.2">
      <c r="J5" s="126" t="s">
        <v>251</v>
      </c>
      <c r="K5" s="120">
        <f>+'ShellCalc© Program'!$C$7</f>
        <v>15</v>
      </c>
      <c r="L5" s="120" t="str">
        <f>+'ShellCalc© Program'!$D$7</f>
        <v>km/h</v>
      </c>
      <c r="M5" s="121"/>
    </row>
    <row r="6" spans="10:13" x14ac:dyDescent="0.2">
      <c r="J6" s="126" t="s">
        <v>252</v>
      </c>
      <c r="K6" s="120">
        <f>+'ShellCalc© Program'!$C$8</f>
        <v>0</v>
      </c>
      <c r="L6" s="120" t="str">
        <f>+'ShellCalc© Program'!$D$8</f>
        <v>° relative angle</v>
      </c>
      <c r="M6" s="121"/>
    </row>
    <row r="7" spans="10:13" x14ac:dyDescent="0.2">
      <c r="J7" s="127" t="s">
        <v>254</v>
      </c>
      <c r="K7" s="123">
        <f>+'ShellCalc© Program'!$C$11</f>
        <v>0</v>
      </c>
      <c r="L7" s="123" t="str">
        <f>+'ShellCalc© Program'!$D$11</f>
        <v>m from ground level</v>
      </c>
      <c r="M7" s="124"/>
    </row>
  </sheetData>
  <sheetProtection password="DC79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J2:M7"/>
  <sheetViews>
    <sheetView workbookViewId="0">
      <selection activeCell="S35" sqref="S35"/>
    </sheetView>
  </sheetViews>
  <sheetFormatPr defaultRowHeight="12.75" x14ac:dyDescent="0.2"/>
  <cols>
    <col min="10" max="10" width="16.28515625" customWidth="1"/>
    <col min="11" max="11" width="4.28515625" customWidth="1"/>
    <col min="22" max="22" width="14.7109375" customWidth="1"/>
  </cols>
  <sheetData>
    <row r="2" spans="10:13" x14ac:dyDescent="0.2">
      <c r="J2" s="125" t="s">
        <v>94</v>
      </c>
      <c r="K2" s="118" t="str">
        <f>+'ShellCalc© Program'!$C$3</f>
        <v>Shells/Bombettes</v>
      </c>
      <c r="L2" s="118"/>
      <c r="M2" s="119"/>
    </row>
    <row r="3" spans="10:13" x14ac:dyDescent="0.2">
      <c r="J3" s="126" t="s">
        <v>249</v>
      </c>
      <c r="K3" s="120" t="str">
        <f>+'ShellCalc© Program'!$C$4</f>
        <v>4" (100mm)</v>
      </c>
      <c r="L3" s="120"/>
      <c r="M3" s="121"/>
    </row>
    <row r="4" spans="10:13" x14ac:dyDescent="0.2">
      <c r="J4" s="126" t="s">
        <v>250</v>
      </c>
      <c r="K4" s="120">
        <f>+'ShellCalc© Program'!$C$5</f>
        <v>0</v>
      </c>
      <c r="L4" s="122" t="s">
        <v>253</v>
      </c>
      <c r="M4" s="121"/>
    </row>
    <row r="5" spans="10:13" x14ac:dyDescent="0.2">
      <c r="J5" s="126" t="s">
        <v>251</v>
      </c>
      <c r="K5" s="120">
        <f>+'ShellCalc© Program'!$C$7</f>
        <v>15</v>
      </c>
      <c r="L5" s="120" t="str">
        <f>+'ShellCalc© Program'!$D$7</f>
        <v>km/h</v>
      </c>
      <c r="M5" s="121"/>
    </row>
    <row r="6" spans="10:13" x14ac:dyDescent="0.2">
      <c r="J6" s="126" t="s">
        <v>252</v>
      </c>
      <c r="K6" s="120">
        <f>+'ShellCalc© Program'!$C$8</f>
        <v>0</v>
      </c>
      <c r="L6" s="120" t="str">
        <f>+'ShellCalc© Program'!$D$8</f>
        <v>° relative angle</v>
      </c>
      <c r="M6" s="121"/>
    </row>
    <row r="7" spans="10:13" x14ac:dyDescent="0.2">
      <c r="J7" s="127" t="s">
        <v>254</v>
      </c>
      <c r="K7" s="123">
        <f>+'ShellCalc© Program'!$C$11</f>
        <v>0</v>
      </c>
      <c r="L7" s="123" t="str">
        <f>+'ShellCalc© Program'!$D$11</f>
        <v>m from ground level</v>
      </c>
      <c r="M7" s="124"/>
    </row>
  </sheetData>
  <sheetProtection password="DC79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E16"/>
  <sheetViews>
    <sheetView workbookViewId="0">
      <selection activeCell="E7" sqref="E7"/>
    </sheetView>
  </sheetViews>
  <sheetFormatPr defaultRowHeight="12.75" x14ac:dyDescent="0.2"/>
  <cols>
    <col min="1" max="1" width="15.42578125" customWidth="1"/>
    <col min="2" max="2" width="13.5703125" customWidth="1"/>
    <col min="3" max="3" width="12.42578125" customWidth="1"/>
    <col min="4" max="4" width="13.28515625" customWidth="1"/>
    <col min="5" max="5" width="14.85546875" customWidth="1"/>
  </cols>
  <sheetData>
    <row r="1" spans="1:5" ht="18" x14ac:dyDescent="0.25">
      <c r="A1" s="91" t="s">
        <v>214</v>
      </c>
    </row>
    <row r="3" spans="1:5" ht="16.5" thickBot="1" x14ac:dyDescent="0.3">
      <c r="A3" s="92" t="s">
        <v>147</v>
      </c>
      <c r="B3" s="93" t="s">
        <v>154</v>
      </c>
      <c r="C3" s="94" t="s">
        <v>146</v>
      </c>
      <c r="D3" s="95" t="s">
        <v>148</v>
      </c>
      <c r="E3" s="96" t="s">
        <v>136</v>
      </c>
    </row>
    <row r="4" spans="1:5" ht="15.75" x14ac:dyDescent="0.25">
      <c r="A4" s="97">
        <v>0</v>
      </c>
      <c r="B4" s="98">
        <v>0</v>
      </c>
      <c r="C4" s="99">
        <v>0</v>
      </c>
      <c r="D4" s="100">
        <v>0</v>
      </c>
      <c r="E4" s="101">
        <f t="shared" ref="E4:E16" si="0">+B4*6/21.6</f>
        <v>0</v>
      </c>
    </row>
    <row r="5" spans="1:5" ht="15.75" x14ac:dyDescent="0.25">
      <c r="A5" s="97">
        <v>1</v>
      </c>
      <c r="B5" s="98">
        <v>2</v>
      </c>
      <c r="C5" s="99">
        <v>1</v>
      </c>
      <c r="D5" s="100">
        <v>1</v>
      </c>
      <c r="E5" s="101">
        <f t="shared" si="0"/>
        <v>0.55555555555555547</v>
      </c>
    </row>
    <row r="6" spans="1:5" ht="15.75" x14ac:dyDescent="0.25">
      <c r="A6" s="97">
        <v>2</v>
      </c>
      <c r="B6" s="98">
        <v>6</v>
      </c>
      <c r="C6" s="99">
        <v>4</v>
      </c>
      <c r="D6" s="100">
        <v>4</v>
      </c>
      <c r="E6" s="101">
        <f t="shared" si="0"/>
        <v>1.6666666666666665</v>
      </c>
    </row>
    <row r="7" spans="1:5" ht="15.75" x14ac:dyDescent="0.25">
      <c r="A7" s="97">
        <v>3</v>
      </c>
      <c r="B7" s="98">
        <v>13</v>
      </c>
      <c r="C7" s="99">
        <v>8</v>
      </c>
      <c r="D7" s="100">
        <v>7</v>
      </c>
      <c r="E7" s="101">
        <f t="shared" si="0"/>
        <v>3.6111111111111107</v>
      </c>
    </row>
    <row r="8" spans="1:5" ht="15.75" x14ac:dyDescent="0.25">
      <c r="A8" s="97">
        <v>4</v>
      </c>
      <c r="B8" s="98">
        <v>21</v>
      </c>
      <c r="C8" s="99">
        <v>13</v>
      </c>
      <c r="D8" s="100">
        <v>11</v>
      </c>
      <c r="E8" s="101">
        <f t="shared" si="0"/>
        <v>5.833333333333333</v>
      </c>
    </row>
    <row r="9" spans="1:5" ht="15.75" x14ac:dyDescent="0.25">
      <c r="A9" s="97">
        <v>5</v>
      </c>
      <c r="B9" s="98">
        <v>30</v>
      </c>
      <c r="C9" s="99">
        <v>19</v>
      </c>
      <c r="D9" s="100">
        <v>17</v>
      </c>
      <c r="E9" s="101">
        <f t="shared" si="0"/>
        <v>8.3333333333333321</v>
      </c>
    </row>
    <row r="10" spans="1:5" ht="15.75" x14ac:dyDescent="0.25">
      <c r="A10" s="97">
        <v>6</v>
      </c>
      <c r="B10" s="98">
        <v>40</v>
      </c>
      <c r="C10" s="99">
        <v>25</v>
      </c>
      <c r="D10" s="100">
        <v>22</v>
      </c>
      <c r="E10" s="101">
        <f t="shared" si="0"/>
        <v>11.111111111111111</v>
      </c>
    </row>
    <row r="11" spans="1:5" ht="15.75" x14ac:dyDescent="0.25">
      <c r="A11" s="97">
        <v>7</v>
      </c>
      <c r="B11" s="98">
        <v>51</v>
      </c>
      <c r="C11" s="99">
        <v>32</v>
      </c>
      <c r="D11" s="100">
        <v>28</v>
      </c>
      <c r="E11" s="101">
        <f t="shared" si="0"/>
        <v>14.166666666666666</v>
      </c>
    </row>
    <row r="12" spans="1:5" ht="15.75" x14ac:dyDescent="0.25">
      <c r="A12" s="97">
        <v>8</v>
      </c>
      <c r="B12" s="98">
        <v>62</v>
      </c>
      <c r="C12" s="99">
        <v>39</v>
      </c>
      <c r="D12" s="100">
        <v>34</v>
      </c>
      <c r="E12" s="101">
        <f t="shared" si="0"/>
        <v>17.222222222222221</v>
      </c>
    </row>
    <row r="13" spans="1:5" ht="15.75" x14ac:dyDescent="0.25">
      <c r="A13" s="97">
        <v>9</v>
      </c>
      <c r="B13" s="98">
        <v>75</v>
      </c>
      <c r="C13" s="99">
        <v>47</v>
      </c>
      <c r="D13" s="100">
        <v>41</v>
      </c>
      <c r="E13" s="101">
        <f t="shared" si="0"/>
        <v>20.833333333333332</v>
      </c>
    </row>
    <row r="14" spans="1:5" ht="15.75" x14ac:dyDescent="0.25">
      <c r="A14" s="97">
        <v>10</v>
      </c>
      <c r="B14" s="98">
        <v>88</v>
      </c>
      <c r="C14" s="99">
        <v>55</v>
      </c>
      <c r="D14" s="100">
        <v>48</v>
      </c>
      <c r="E14" s="101">
        <f t="shared" si="0"/>
        <v>24.444444444444443</v>
      </c>
    </row>
    <row r="15" spans="1:5" ht="15.75" x14ac:dyDescent="0.25">
      <c r="A15" s="97">
        <v>11</v>
      </c>
      <c r="B15" s="98">
        <v>102</v>
      </c>
      <c r="C15" s="99">
        <v>64</v>
      </c>
      <c r="D15" s="100">
        <v>56</v>
      </c>
      <c r="E15" s="101">
        <f t="shared" si="0"/>
        <v>28.333333333333332</v>
      </c>
    </row>
    <row r="16" spans="1:5" ht="15.75" x14ac:dyDescent="0.25">
      <c r="A16" s="102">
        <v>12</v>
      </c>
      <c r="B16" s="103">
        <v>117</v>
      </c>
      <c r="C16" s="104">
        <v>73</v>
      </c>
      <c r="D16" s="105">
        <v>64</v>
      </c>
      <c r="E16" s="106">
        <f t="shared" si="0"/>
        <v>32.5</v>
      </c>
    </row>
  </sheetData>
  <sheetProtection password="DC79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E40"/>
  <sheetViews>
    <sheetView workbookViewId="0">
      <selection activeCell="D24" sqref="D24"/>
    </sheetView>
  </sheetViews>
  <sheetFormatPr defaultRowHeight="12.75" x14ac:dyDescent="0.2"/>
  <cols>
    <col min="1" max="2" width="4.28515625" customWidth="1"/>
    <col min="3" max="4" width="26.28515625" customWidth="1"/>
  </cols>
  <sheetData>
    <row r="1" spans="1:5" ht="26.25" x14ac:dyDescent="0.4">
      <c r="A1" s="108" t="s">
        <v>220</v>
      </c>
      <c r="B1" s="108"/>
    </row>
    <row r="3" spans="1:5" x14ac:dyDescent="0.2">
      <c r="A3" s="5" t="s">
        <v>230</v>
      </c>
      <c r="B3" s="5"/>
    </row>
    <row r="5" spans="1:5" ht="15.75" x14ac:dyDescent="0.25">
      <c r="A5" s="90" t="s">
        <v>221</v>
      </c>
      <c r="B5" s="50"/>
    </row>
    <row r="6" spans="1:5" x14ac:dyDescent="0.2">
      <c r="C6" s="50"/>
    </row>
    <row r="7" spans="1:5" x14ac:dyDescent="0.2">
      <c r="B7" s="112" t="s">
        <v>176</v>
      </c>
    </row>
    <row r="8" spans="1:5" x14ac:dyDescent="0.2">
      <c r="B8" s="113"/>
    </row>
    <row r="9" spans="1:5" x14ac:dyDescent="0.2">
      <c r="B9" s="113"/>
      <c r="C9" s="111" t="s">
        <v>94</v>
      </c>
      <c r="D9" s="110" t="s">
        <v>204</v>
      </c>
      <c r="E9" s="5"/>
    </row>
    <row r="10" spans="1:5" x14ac:dyDescent="0.2">
      <c r="B10" s="113"/>
      <c r="C10" s="111" t="s">
        <v>222</v>
      </c>
      <c r="D10" s="110" t="s">
        <v>205</v>
      </c>
      <c r="E10" s="5"/>
    </row>
    <row r="11" spans="1:5" x14ac:dyDescent="0.2">
      <c r="B11" s="113"/>
      <c r="C11" s="111" t="s">
        <v>223</v>
      </c>
      <c r="D11" s="110" t="s">
        <v>206</v>
      </c>
      <c r="E11" s="5"/>
    </row>
    <row r="12" spans="1:5" x14ac:dyDescent="0.2">
      <c r="B12" s="113"/>
      <c r="C12" s="111" t="s">
        <v>95</v>
      </c>
      <c r="D12" s="110" t="s">
        <v>207</v>
      </c>
      <c r="E12" s="5"/>
    </row>
    <row r="13" spans="1:5" x14ac:dyDescent="0.2">
      <c r="B13" s="113"/>
      <c r="C13" s="111" t="s">
        <v>45</v>
      </c>
      <c r="D13" s="110" t="s">
        <v>208</v>
      </c>
      <c r="E13" s="5"/>
    </row>
    <row r="14" spans="1:5" x14ac:dyDescent="0.2">
      <c r="B14" s="113"/>
      <c r="C14" s="111" t="s">
        <v>47</v>
      </c>
      <c r="D14" s="110" t="s">
        <v>256</v>
      </c>
      <c r="E14" s="5"/>
    </row>
    <row r="15" spans="1:5" x14ac:dyDescent="0.2">
      <c r="B15" s="113"/>
      <c r="C15" s="111"/>
      <c r="D15" s="110"/>
      <c r="E15" s="5"/>
    </row>
    <row r="16" spans="1:5" x14ac:dyDescent="0.2">
      <c r="B16" s="112" t="s">
        <v>177</v>
      </c>
      <c r="C16" s="111"/>
      <c r="D16" s="110"/>
      <c r="E16" s="5"/>
    </row>
    <row r="17" spans="2:5" x14ac:dyDescent="0.2">
      <c r="B17" s="113"/>
      <c r="C17" s="111"/>
      <c r="D17" s="110"/>
      <c r="E17" s="5"/>
    </row>
    <row r="18" spans="2:5" x14ac:dyDescent="0.2">
      <c r="B18" s="113"/>
      <c r="C18" s="111" t="s">
        <v>117</v>
      </c>
      <c r="D18" s="110" t="s">
        <v>209</v>
      </c>
      <c r="E18" s="5"/>
    </row>
    <row r="19" spans="2:5" x14ac:dyDescent="0.2">
      <c r="B19" s="113"/>
      <c r="C19" s="111" t="s">
        <v>46</v>
      </c>
      <c r="D19" s="110" t="s">
        <v>276</v>
      </c>
      <c r="E19" s="5"/>
    </row>
    <row r="20" spans="2:5" x14ac:dyDescent="0.2">
      <c r="B20" s="113"/>
      <c r="C20" s="111" t="s">
        <v>224</v>
      </c>
      <c r="D20" s="110" t="s">
        <v>210</v>
      </c>
      <c r="E20" s="5"/>
    </row>
    <row r="21" spans="2:5" x14ac:dyDescent="0.2">
      <c r="B21" s="113"/>
      <c r="C21" s="111" t="s">
        <v>225</v>
      </c>
      <c r="D21" s="110" t="s">
        <v>211</v>
      </c>
      <c r="E21" s="5"/>
    </row>
    <row r="22" spans="2:5" x14ac:dyDescent="0.2">
      <c r="B22" s="113"/>
      <c r="C22" s="111" t="s">
        <v>271</v>
      </c>
      <c r="D22" s="110" t="s">
        <v>277</v>
      </c>
      <c r="E22" s="5"/>
    </row>
    <row r="23" spans="2:5" x14ac:dyDescent="0.2">
      <c r="B23" s="113"/>
      <c r="C23" s="111" t="s">
        <v>179</v>
      </c>
      <c r="D23" s="110" t="s">
        <v>278</v>
      </c>
      <c r="E23" s="5"/>
    </row>
    <row r="24" spans="2:5" x14ac:dyDescent="0.2">
      <c r="B24" s="113"/>
      <c r="C24" s="111" t="s">
        <v>48</v>
      </c>
      <c r="D24" s="110" t="s">
        <v>212</v>
      </c>
      <c r="E24" s="5"/>
    </row>
    <row r="25" spans="2:5" x14ac:dyDescent="0.2">
      <c r="B25" s="113"/>
      <c r="C25" s="111"/>
      <c r="D25" s="110"/>
      <c r="E25" s="5"/>
    </row>
    <row r="26" spans="2:5" x14ac:dyDescent="0.2">
      <c r="B26" s="112" t="s">
        <v>193</v>
      </c>
      <c r="C26" s="111"/>
      <c r="D26" s="110"/>
      <c r="E26" s="5"/>
    </row>
    <row r="27" spans="2:5" x14ac:dyDescent="0.2">
      <c r="B27" s="113"/>
      <c r="C27" s="111"/>
      <c r="D27" s="110"/>
      <c r="E27" s="5"/>
    </row>
    <row r="28" spans="2:5" x14ac:dyDescent="0.2">
      <c r="B28" s="113"/>
      <c r="C28" s="111" t="s">
        <v>39</v>
      </c>
      <c r="D28" s="110" t="s">
        <v>213</v>
      </c>
      <c r="E28" s="5"/>
    </row>
    <row r="29" spans="2:5" x14ac:dyDescent="0.2">
      <c r="B29" s="113"/>
      <c r="C29" s="111"/>
      <c r="D29" s="110"/>
      <c r="E29" s="5"/>
    </row>
    <row r="30" spans="2:5" x14ac:dyDescent="0.2">
      <c r="B30" s="112" t="s">
        <v>178</v>
      </c>
      <c r="C30" s="111"/>
      <c r="D30" s="110"/>
      <c r="E30" s="5"/>
    </row>
    <row r="31" spans="2:5" x14ac:dyDescent="0.2">
      <c r="B31" s="113"/>
      <c r="C31" s="111"/>
      <c r="D31" s="110"/>
      <c r="E31" s="5"/>
    </row>
    <row r="32" spans="2:5" x14ac:dyDescent="0.2">
      <c r="B32" s="113"/>
      <c r="C32" s="111" t="s">
        <v>227</v>
      </c>
      <c r="D32" s="110" t="s">
        <v>229</v>
      </c>
      <c r="E32" s="5"/>
    </row>
    <row r="33" spans="1:5" x14ac:dyDescent="0.2">
      <c r="B33" s="113"/>
      <c r="C33" s="111" t="s">
        <v>174</v>
      </c>
      <c r="D33" s="110" t="s">
        <v>228</v>
      </c>
      <c r="E33" s="5"/>
    </row>
    <row r="34" spans="1:5" x14ac:dyDescent="0.2">
      <c r="B34" s="113"/>
      <c r="C34" s="111"/>
    </row>
    <row r="35" spans="1:5" x14ac:dyDescent="0.2">
      <c r="C35" s="111"/>
    </row>
    <row r="36" spans="1:5" ht="15.75" x14ac:dyDescent="0.25">
      <c r="A36" s="90" t="s">
        <v>231</v>
      </c>
      <c r="C36" s="111"/>
    </row>
    <row r="37" spans="1:5" x14ac:dyDescent="0.2">
      <c r="C37" s="111"/>
    </row>
    <row r="38" spans="1:5" x14ac:dyDescent="0.2">
      <c r="C38" s="111" t="s">
        <v>232</v>
      </c>
      <c r="D38" s="5" t="s">
        <v>235</v>
      </c>
    </row>
    <row r="39" spans="1:5" x14ac:dyDescent="0.2">
      <c r="C39" s="111" t="s">
        <v>233</v>
      </c>
      <c r="D39" s="5" t="s">
        <v>234</v>
      </c>
    </row>
    <row r="40" spans="1:5" x14ac:dyDescent="0.2">
      <c r="C40" s="111" t="s">
        <v>236</v>
      </c>
      <c r="D40" s="5" t="s">
        <v>237</v>
      </c>
    </row>
  </sheetData>
  <sheetProtection password="DC79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L51"/>
  <sheetViews>
    <sheetView showGridLines="0" showRowColHeaders="0" workbookViewId="0">
      <selection activeCell="L52" sqref="L52"/>
    </sheetView>
  </sheetViews>
  <sheetFormatPr defaultRowHeight="12.75" x14ac:dyDescent="0.2"/>
  <cols>
    <col min="12" max="12" width="41" customWidth="1"/>
  </cols>
  <sheetData>
    <row r="1" spans="1:12" ht="15.75" x14ac:dyDescent="0.25">
      <c r="A1" s="90" t="s">
        <v>238</v>
      </c>
    </row>
    <row r="11" spans="1:12" x14ac:dyDescent="0.2">
      <c r="L11" s="5" t="s">
        <v>240</v>
      </c>
    </row>
    <row r="13" spans="1:12" x14ac:dyDescent="0.2">
      <c r="L13" s="5" t="s">
        <v>239</v>
      </c>
    </row>
    <row r="15" spans="1:12" x14ac:dyDescent="0.2">
      <c r="L15" s="5" t="s">
        <v>241</v>
      </c>
    </row>
    <row r="17" spans="12:12" x14ac:dyDescent="0.2">
      <c r="L17" s="5" t="s">
        <v>242</v>
      </c>
    </row>
    <row r="19" spans="12:12" x14ac:dyDescent="0.2">
      <c r="L19" s="5" t="s">
        <v>243</v>
      </c>
    </row>
    <row r="21" spans="12:12" x14ac:dyDescent="0.2">
      <c r="L21" s="5" t="s">
        <v>244</v>
      </c>
    </row>
    <row r="23" spans="12:12" x14ac:dyDescent="0.2">
      <c r="L23" s="5" t="s">
        <v>245</v>
      </c>
    </row>
    <row r="34" spans="12:12" x14ac:dyDescent="0.2">
      <c r="L34" s="5" t="s">
        <v>243</v>
      </c>
    </row>
    <row r="36" spans="12:12" x14ac:dyDescent="0.2">
      <c r="L36" s="5" t="s">
        <v>242</v>
      </c>
    </row>
    <row r="38" spans="12:12" x14ac:dyDescent="0.2">
      <c r="L38" s="5" t="s">
        <v>240</v>
      </c>
    </row>
    <row r="40" spans="12:12" x14ac:dyDescent="0.2">
      <c r="L40" s="5" t="s">
        <v>239</v>
      </c>
    </row>
    <row r="42" spans="12:12" x14ac:dyDescent="0.2">
      <c r="L42" s="5" t="s">
        <v>241</v>
      </c>
    </row>
    <row r="44" spans="12:12" x14ac:dyDescent="0.2">
      <c r="L44" s="5" t="s">
        <v>244</v>
      </c>
    </row>
    <row r="51" spans="12:12" x14ac:dyDescent="0.2">
      <c r="L51" s="5" t="s">
        <v>246</v>
      </c>
    </row>
  </sheetData>
  <sheetProtection password="DC79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  <pageSetUpPr autoPageBreaks="0"/>
  </sheetPr>
  <dimension ref="A1:C18"/>
  <sheetViews>
    <sheetView showGridLines="0" workbookViewId="0">
      <selection activeCell="B2" sqref="B2"/>
    </sheetView>
  </sheetViews>
  <sheetFormatPr defaultRowHeight="12.75" x14ac:dyDescent="0.2"/>
  <cols>
    <col min="2" max="2" width="78.5703125" style="12" customWidth="1"/>
  </cols>
  <sheetData>
    <row r="1" spans="1:3" x14ac:dyDescent="0.2">
      <c r="A1" s="34"/>
      <c r="B1" s="35"/>
      <c r="C1" s="36"/>
    </row>
    <row r="2" spans="1:3" ht="23.25" x14ac:dyDescent="0.35">
      <c r="A2" s="37"/>
      <c r="B2" s="38" t="str">
        <f>+"About "&amp;version</f>
        <v>About ShellCalc© v5.1.8</v>
      </c>
      <c r="C2" s="39"/>
    </row>
    <row r="3" spans="1:3" x14ac:dyDescent="0.2">
      <c r="A3" s="37"/>
      <c r="B3" s="40"/>
      <c r="C3" s="39"/>
    </row>
    <row r="4" spans="1:3" s="13" customFormat="1" ht="18.75" x14ac:dyDescent="0.25">
      <c r="A4" s="41"/>
      <c r="B4" s="42" t="s">
        <v>76</v>
      </c>
      <c r="C4" s="43"/>
    </row>
    <row r="5" spans="1:3" s="13" customFormat="1" ht="39" customHeight="1" x14ac:dyDescent="0.2">
      <c r="A5" s="41"/>
      <c r="B5" s="44" t="s">
        <v>118</v>
      </c>
      <c r="C5" s="43"/>
    </row>
    <row r="6" spans="1:3" s="13" customFormat="1" ht="39" customHeight="1" x14ac:dyDescent="0.2">
      <c r="A6" s="41"/>
      <c r="B6" s="44" t="s">
        <v>119</v>
      </c>
      <c r="C6" s="43"/>
    </row>
    <row r="7" spans="1:3" s="13" customFormat="1" ht="57" customHeight="1" x14ac:dyDescent="0.2">
      <c r="A7" s="41"/>
      <c r="B7" s="44" t="s">
        <v>120</v>
      </c>
      <c r="C7" s="43"/>
    </row>
    <row r="8" spans="1:3" s="13" customFormat="1" ht="24" customHeight="1" x14ac:dyDescent="0.2">
      <c r="A8" s="41"/>
      <c r="B8" s="44" t="s">
        <v>121</v>
      </c>
      <c r="C8" s="43"/>
    </row>
    <row r="9" spans="1:3" s="13" customFormat="1" ht="43.5" customHeight="1" x14ac:dyDescent="0.2">
      <c r="A9" s="41"/>
      <c r="B9" s="44" t="s">
        <v>122</v>
      </c>
      <c r="C9" s="43"/>
    </row>
    <row r="10" spans="1:3" s="13" customFormat="1" ht="36" customHeight="1" x14ac:dyDescent="0.2">
      <c r="A10" s="41"/>
      <c r="B10" s="45" t="s">
        <v>123</v>
      </c>
      <c r="C10" s="43"/>
    </row>
    <row r="11" spans="1:3" s="13" customFormat="1" ht="36.75" customHeight="1" x14ac:dyDescent="0.2">
      <c r="A11" s="41"/>
      <c r="B11" s="45" t="s">
        <v>124</v>
      </c>
      <c r="C11" s="43"/>
    </row>
    <row r="12" spans="1:3" s="13" customFormat="1" ht="38.25" customHeight="1" x14ac:dyDescent="0.2">
      <c r="A12" s="41"/>
      <c r="B12" s="46" t="s">
        <v>125</v>
      </c>
      <c r="C12" s="43"/>
    </row>
    <row r="13" spans="1:3" s="13" customFormat="1" ht="15.75" thickBot="1" x14ac:dyDescent="0.25">
      <c r="A13" s="47"/>
      <c r="B13" s="48"/>
      <c r="C13" s="49"/>
    </row>
    <row r="14" spans="1:3" s="13" customFormat="1" ht="15" x14ac:dyDescent="0.2">
      <c r="B14" s="12"/>
    </row>
    <row r="15" spans="1:3" s="13" customFormat="1" ht="15" x14ac:dyDescent="0.2">
      <c r="B15" s="12"/>
    </row>
    <row r="16" spans="1:3" s="13" customFormat="1" ht="15" x14ac:dyDescent="0.2">
      <c r="B16" s="12"/>
    </row>
    <row r="17" spans="2:2" s="13" customFormat="1" ht="15" x14ac:dyDescent="0.2">
      <c r="B17" s="12"/>
    </row>
    <row r="18" spans="2:2" s="13" customFormat="1" ht="15" x14ac:dyDescent="0.2">
      <c r="B18" s="12"/>
    </row>
  </sheetData>
  <sheetProtection password="DC79" sheet="1" objects="1" scenarios="1"/>
  <phoneticPr fontId="0" type="noConversion"/>
  <hyperlinks>
    <hyperlink ref="B12" r:id="rId1"/>
  </hyperlinks>
  <pageMargins left="0.75" right="0.75" top="1" bottom="1" header="0.5" footer="0.5"/>
  <pageSetup paperSize="9" orientation="portrait" horizontalDpi="1200" verticalDpi="12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/>
  </sheetPr>
  <dimension ref="A1:G27"/>
  <sheetViews>
    <sheetView workbookViewId="0">
      <selection activeCell="D24" sqref="D24"/>
    </sheetView>
  </sheetViews>
  <sheetFormatPr defaultRowHeight="12.75" x14ac:dyDescent="0.2"/>
  <cols>
    <col min="2" max="2" width="10.140625" bestFit="1" customWidth="1"/>
    <col min="11" max="11" width="24.28515625" customWidth="1"/>
  </cols>
  <sheetData>
    <row r="1" spans="1:7" ht="18.75" x14ac:dyDescent="0.3">
      <c r="A1" s="72" t="s">
        <v>130</v>
      </c>
      <c r="B1" s="72"/>
      <c r="C1" s="155" t="str">
        <f>+version</f>
        <v>ShellCalc© v5.1.8</v>
      </c>
      <c r="D1" s="156"/>
      <c r="E1" s="156"/>
      <c r="F1" s="156"/>
      <c r="G1" s="156"/>
    </row>
    <row r="4" spans="1:7" x14ac:dyDescent="0.2">
      <c r="A4" s="50" t="s">
        <v>106</v>
      </c>
    </row>
    <row r="7" spans="1:7" x14ac:dyDescent="0.2">
      <c r="A7" s="51">
        <v>3.1</v>
      </c>
      <c r="B7">
        <v>2000</v>
      </c>
      <c r="C7" s="5" t="s">
        <v>107</v>
      </c>
      <c r="D7" s="5" t="s">
        <v>108</v>
      </c>
    </row>
    <row r="8" spans="1:7" x14ac:dyDescent="0.2">
      <c r="A8" s="51">
        <v>3.2</v>
      </c>
      <c r="B8">
        <v>2005</v>
      </c>
      <c r="C8" s="5" t="s">
        <v>109</v>
      </c>
      <c r="D8" s="5" t="s">
        <v>110</v>
      </c>
    </row>
    <row r="9" spans="1:7" x14ac:dyDescent="0.2">
      <c r="A9" s="51">
        <v>4.0999999999999996</v>
      </c>
      <c r="B9" s="26">
        <v>40380</v>
      </c>
      <c r="C9" s="5" t="s">
        <v>109</v>
      </c>
      <c r="D9" s="5" t="s">
        <v>111</v>
      </c>
    </row>
    <row r="10" spans="1:7" x14ac:dyDescent="0.2">
      <c r="A10" s="51" t="s">
        <v>131</v>
      </c>
      <c r="B10" s="26">
        <v>40381</v>
      </c>
      <c r="C10" s="5" t="s">
        <v>109</v>
      </c>
      <c r="D10" s="5" t="s">
        <v>114</v>
      </c>
    </row>
    <row r="11" spans="1:7" x14ac:dyDescent="0.2">
      <c r="A11" s="51" t="s">
        <v>132</v>
      </c>
      <c r="B11" s="26">
        <v>40382</v>
      </c>
      <c r="C11" s="5" t="s">
        <v>109</v>
      </c>
      <c r="D11" s="5" t="s">
        <v>129</v>
      </c>
    </row>
    <row r="12" spans="1:7" x14ac:dyDescent="0.2">
      <c r="A12" s="51" t="s">
        <v>144</v>
      </c>
      <c r="B12" s="26">
        <v>41045</v>
      </c>
      <c r="C12" s="5" t="s">
        <v>109</v>
      </c>
      <c r="D12" s="5" t="s">
        <v>143</v>
      </c>
    </row>
    <row r="13" spans="1:7" x14ac:dyDescent="0.2">
      <c r="A13" s="51" t="s">
        <v>159</v>
      </c>
      <c r="B13" s="26">
        <v>41046</v>
      </c>
      <c r="C13" s="5" t="s">
        <v>109</v>
      </c>
      <c r="D13" s="5" t="s">
        <v>217</v>
      </c>
    </row>
    <row r="14" spans="1:7" x14ac:dyDescent="0.2">
      <c r="A14" s="51" t="s">
        <v>215</v>
      </c>
      <c r="B14" s="26">
        <v>41048</v>
      </c>
      <c r="C14" s="5" t="s">
        <v>109</v>
      </c>
      <c r="D14" s="5" t="s">
        <v>216</v>
      </c>
    </row>
    <row r="15" spans="1:7" x14ac:dyDescent="0.2">
      <c r="A15" s="51">
        <v>5.15</v>
      </c>
      <c r="B15" s="26">
        <v>41066</v>
      </c>
      <c r="C15" s="5" t="s">
        <v>109</v>
      </c>
      <c r="D15" s="5" t="s">
        <v>257</v>
      </c>
    </row>
    <row r="16" spans="1:7" x14ac:dyDescent="0.2">
      <c r="A16" s="51">
        <v>5.16</v>
      </c>
      <c r="B16" s="26">
        <v>41163</v>
      </c>
      <c r="C16" s="5" t="s">
        <v>109</v>
      </c>
      <c r="D16" s="5" t="s">
        <v>259</v>
      </c>
    </row>
    <row r="17" spans="1:4" x14ac:dyDescent="0.2">
      <c r="A17" s="51">
        <v>5.17</v>
      </c>
      <c r="B17" s="26">
        <v>41192</v>
      </c>
      <c r="C17" s="5" t="s">
        <v>109</v>
      </c>
      <c r="D17" s="5" t="s">
        <v>279</v>
      </c>
    </row>
    <row r="18" spans="1:4" x14ac:dyDescent="0.2">
      <c r="A18" s="51">
        <v>5.18</v>
      </c>
      <c r="B18" s="26">
        <v>41213</v>
      </c>
      <c r="C18" s="5" t="s">
        <v>109</v>
      </c>
      <c r="D18" s="5" t="s">
        <v>292</v>
      </c>
    </row>
    <row r="19" spans="1:4" x14ac:dyDescent="0.2">
      <c r="A19" s="51"/>
    </row>
    <row r="20" spans="1:4" x14ac:dyDescent="0.2">
      <c r="A20" s="51"/>
    </row>
    <row r="21" spans="1:4" x14ac:dyDescent="0.2">
      <c r="A21" s="51"/>
    </row>
    <row r="22" spans="1:4" x14ac:dyDescent="0.2">
      <c r="A22" s="51"/>
    </row>
    <row r="23" spans="1:4" x14ac:dyDescent="0.2">
      <c r="A23" s="51"/>
    </row>
    <row r="24" spans="1:4" x14ac:dyDescent="0.2">
      <c r="A24" s="51"/>
    </row>
    <row r="25" spans="1:4" x14ac:dyDescent="0.2">
      <c r="A25" s="107" t="s">
        <v>219</v>
      </c>
    </row>
    <row r="27" spans="1:4" x14ac:dyDescent="0.2">
      <c r="B27" s="5" t="s">
        <v>218</v>
      </c>
    </row>
  </sheetData>
  <mergeCells count="1">
    <mergeCell ref="C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ShellCalc© Program</vt:lpstr>
      <vt:lpstr>Scaled Plot</vt:lpstr>
      <vt:lpstr>Trajectory Graph</vt:lpstr>
      <vt:lpstr>Ground Plot</vt:lpstr>
      <vt:lpstr>Windspeeds</vt:lpstr>
      <vt:lpstr>Help</vt:lpstr>
      <vt:lpstr>Screenshots</vt:lpstr>
      <vt:lpstr>About</vt:lpstr>
      <vt:lpstr>Changelog</vt:lpstr>
      <vt:lpstr>Input data</vt:lpstr>
      <vt:lpstr>Calculations</vt:lpstr>
      <vt:lpstr>Fallout</vt:lpstr>
      <vt:lpstr>Parameters</vt:lpstr>
      <vt:lpstr>DropdownsHelp</vt:lpstr>
      <vt:lpstr>Shelldata</vt:lpstr>
      <vt:lpstr>Burst Calculations</vt:lpstr>
      <vt:lpstr>Shell BH Calcs</vt:lpstr>
      <vt:lpstr>drift</vt:lpstr>
      <vt:lpstr>Fuse_Delay</vt:lpstr>
      <vt:lpstr>helptext</vt:lpstr>
      <vt:lpstr>is_comet</vt:lpstr>
      <vt:lpstr>is_imp</vt:lpstr>
      <vt:lpstr>is_metric</vt:lpstr>
      <vt:lpstr>is_shell</vt:lpstr>
      <vt:lpstr>muzzle_velocity</vt:lpstr>
      <vt:lpstr>Param_1</vt:lpstr>
      <vt:lpstr>'ShellCalc© Program'!Print_Area</vt:lpstr>
      <vt:lpstr>Print_area1</vt:lpstr>
      <vt:lpstr>Scale</vt:lpstr>
      <vt:lpstr>Shell_Burst_Diameter</vt:lpstr>
      <vt:lpstr>Shell_Burst_Height</vt:lpstr>
      <vt:lpstr>shell_data</vt:lpstr>
      <vt:lpstr>shell_data1</vt:lpstr>
      <vt:lpstr>shell_size</vt:lpstr>
      <vt:lpstr>showfallout</vt:lpstr>
      <vt:lpstr>types</vt:lpstr>
      <vt:lpstr>Units</vt:lpstr>
      <vt:lpstr>version</vt:lpstr>
    </vt:vector>
  </TitlesOfParts>
  <Company>Department of Natural Resources (Qld)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Harradine</dc:creator>
  <cp:lastModifiedBy>chris</cp:lastModifiedBy>
  <cp:lastPrinted>2012-05-16T12:42:55Z</cp:lastPrinted>
  <dcterms:created xsi:type="dcterms:W3CDTF">2002-08-15T03:34:29Z</dcterms:created>
  <dcterms:modified xsi:type="dcterms:W3CDTF">2016-02-18T15:29:18Z</dcterms:modified>
</cp:coreProperties>
</file>